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24900" windowHeight="10590"/>
  </bookViews>
  <sheets>
    <sheet name="за 1 кв." sheetId="1" r:id="rId1"/>
  </sheets>
  <definedNames>
    <definedName name="_xlnm.Print_Titles" localSheetId="0">'за 1 кв.'!$A:$A</definedName>
    <definedName name="_xlnm.Print_Area" localSheetId="0">'за 1 кв.'!$A$1:$BB$41</definedName>
  </definedNames>
  <calcPr calcId="145621" fullCalcOnLoad="1"/>
</workbook>
</file>

<file path=xl/calcChain.xml><?xml version="1.0" encoding="utf-8"?>
<calcChain xmlns="http://schemas.openxmlformats.org/spreadsheetml/2006/main">
  <c r="AT41" i="1" l="1"/>
  <c r="AS41" i="1"/>
  <c r="AN41" i="1"/>
  <c r="AM41" i="1"/>
  <c r="AB41" i="1"/>
  <c r="Z41" i="1"/>
  <c r="T41" i="1"/>
  <c r="S41" i="1"/>
  <c r="R41" i="1"/>
  <c r="M41" i="1"/>
  <c r="L41" i="1"/>
  <c r="K41" i="1"/>
  <c r="J41" i="1"/>
  <c r="I41" i="1"/>
  <c r="D41" i="1"/>
  <c r="C41" i="1"/>
  <c r="B41" i="1"/>
  <c r="BS40" i="1"/>
  <c r="BM40" i="1"/>
  <c r="BQ40" i="1" s="1"/>
  <c r="BA40" i="1"/>
  <c r="AU40" i="1"/>
  <c r="AV40" i="1" s="1"/>
  <c r="AX40" i="1" s="1"/>
  <c r="AP40" i="1"/>
  <c r="AR40" i="1" s="1"/>
  <c r="AO40" i="1"/>
  <c r="AE40" i="1"/>
  <c r="AD40" i="1"/>
  <c r="BF40" i="1" s="1"/>
  <c r="AC40" i="1"/>
  <c r="AF40" i="1" s="1"/>
  <c r="AG40" i="1" s="1"/>
  <c r="AA40" i="1"/>
  <c r="Y40" i="1"/>
  <c r="AI40" i="1" s="1"/>
  <c r="AJ40" i="1" s="1"/>
  <c r="AL40" i="1" s="1"/>
  <c r="V40" i="1"/>
  <c r="X40" i="1" s="1"/>
  <c r="U40" i="1"/>
  <c r="N40" i="1"/>
  <c r="O40" i="1" s="1"/>
  <c r="Q40" i="1" s="1"/>
  <c r="E40" i="1"/>
  <c r="F40" i="1" s="1"/>
  <c r="H40" i="1" s="1"/>
  <c r="BB40" i="1" s="1"/>
  <c r="BS39" i="1"/>
  <c r="BR39" i="1"/>
  <c r="BP39" i="1"/>
  <c r="BN39" i="1"/>
  <c r="BM39" i="1"/>
  <c r="BQ39" i="1" s="1"/>
  <c r="BA39" i="1"/>
  <c r="AU39" i="1"/>
  <c r="AV39" i="1" s="1"/>
  <c r="AX39" i="1" s="1"/>
  <c r="AP39" i="1"/>
  <c r="AR39" i="1" s="1"/>
  <c r="AO39" i="1"/>
  <c r="AE39" i="1"/>
  <c r="AD39" i="1"/>
  <c r="BF39" i="1" s="1"/>
  <c r="AC39" i="1"/>
  <c r="AF39" i="1" s="1"/>
  <c r="AG39" i="1" s="1"/>
  <c r="AA39" i="1"/>
  <c r="Y39" i="1"/>
  <c r="AI39" i="1" s="1"/>
  <c r="AJ39" i="1" s="1"/>
  <c r="AL39" i="1" s="1"/>
  <c r="V39" i="1"/>
  <c r="X39" i="1" s="1"/>
  <c r="U39" i="1"/>
  <c r="N39" i="1"/>
  <c r="O39" i="1" s="1"/>
  <c r="Q39" i="1" s="1"/>
  <c r="F39" i="1"/>
  <c r="H39" i="1" s="1"/>
  <c r="BB39" i="1" s="1"/>
  <c r="E39" i="1"/>
  <c r="BS38" i="1"/>
  <c r="BM38" i="1"/>
  <c r="BQ38" i="1" s="1"/>
  <c r="BA38" i="1"/>
  <c r="AV38" i="1"/>
  <c r="AX38" i="1" s="1"/>
  <c r="AU38" i="1"/>
  <c r="AO38" i="1"/>
  <c r="AP38" i="1" s="1"/>
  <c r="AR38" i="1" s="1"/>
  <c r="AE38" i="1"/>
  <c r="AD38" i="1"/>
  <c r="BF38" i="1" s="1"/>
  <c r="AC38" i="1"/>
  <c r="AA38" i="1"/>
  <c r="Y38" i="1"/>
  <c r="AI38" i="1" s="1"/>
  <c r="AJ38" i="1" s="1"/>
  <c r="AL38" i="1" s="1"/>
  <c r="U38" i="1"/>
  <c r="V38" i="1" s="1"/>
  <c r="X38" i="1" s="1"/>
  <c r="O38" i="1"/>
  <c r="Q38" i="1" s="1"/>
  <c r="N38" i="1"/>
  <c r="E38" i="1"/>
  <c r="F38" i="1" s="1"/>
  <c r="H38" i="1" s="1"/>
  <c r="BB38" i="1" s="1"/>
  <c r="BS37" i="1"/>
  <c r="BR37" i="1"/>
  <c r="BP37" i="1"/>
  <c r="BN37" i="1"/>
  <c r="BM37" i="1"/>
  <c r="BQ37" i="1" s="1"/>
  <c r="BA37" i="1"/>
  <c r="AU37" i="1"/>
  <c r="AW37" i="1" s="1"/>
  <c r="AX37" i="1" s="1"/>
  <c r="AQ37" i="1"/>
  <c r="AR37" i="1" s="1"/>
  <c r="AO37" i="1"/>
  <c r="AE37" i="1"/>
  <c r="AD37" i="1"/>
  <c r="BF37" i="1" s="1"/>
  <c r="AC37" i="1"/>
  <c r="AF37" i="1" s="1"/>
  <c r="AG37" i="1" s="1"/>
  <c r="AA37" i="1"/>
  <c r="Y37" i="1"/>
  <c r="AI37" i="1" s="1"/>
  <c r="AK37" i="1" s="1"/>
  <c r="AL37" i="1" s="1"/>
  <c r="W37" i="1"/>
  <c r="X37" i="1" s="1"/>
  <c r="U37" i="1"/>
  <c r="N37" i="1"/>
  <c r="P37" i="1" s="1"/>
  <c r="Q37" i="1" s="1"/>
  <c r="G37" i="1"/>
  <c r="H37" i="1" s="1"/>
  <c r="BB37" i="1" s="1"/>
  <c r="E37" i="1"/>
  <c r="BS36" i="1"/>
  <c r="BO36" i="1"/>
  <c r="BM36" i="1"/>
  <c r="BF36" i="1"/>
  <c r="BA36" i="1"/>
  <c r="AV36" i="1"/>
  <c r="AX36" i="1" s="1"/>
  <c r="AU36" i="1"/>
  <c r="AR36" i="1"/>
  <c r="AO36" i="1"/>
  <c r="AP36" i="1" s="1"/>
  <c r="AE36" i="1"/>
  <c r="AD36" i="1"/>
  <c r="AF36" i="1" s="1"/>
  <c r="AG36" i="1" s="1"/>
  <c r="AC36" i="1"/>
  <c r="AA36" i="1"/>
  <c r="Y36" i="1"/>
  <c r="X36" i="1"/>
  <c r="U36" i="1"/>
  <c r="V36" i="1" s="1"/>
  <c r="O36" i="1"/>
  <c r="Q36" i="1" s="1"/>
  <c r="N36" i="1"/>
  <c r="H36" i="1"/>
  <c r="E36" i="1"/>
  <c r="F36" i="1" s="1"/>
  <c r="BS35" i="1"/>
  <c r="BQ35" i="1"/>
  <c r="BM35" i="1"/>
  <c r="BH35" i="1"/>
  <c r="BA35" i="1"/>
  <c r="AV35" i="1"/>
  <c r="AX35" i="1" s="1"/>
  <c r="AU35" i="1"/>
  <c r="AO35" i="1"/>
  <c r="AP35" i="1" s="1"/>
  <c r="AR35" i="1" s="1"/>
  <c r="AE35" i="1"/>
  <c r="AD35" i="1"/>
  <c r="BF35" i="1" s="1"/>
  <c r="AC35" i="1"/>
  <c r="AA35" i="1"/>
  <c r="Y35" i="1"/>
  <c r="AI35" i="1" s="1"/>
  <c r="AJ35" i="1" s="1"/>
  <c r="AL35" i="1" s="1"/>
  <c r="U35" i="1"/>
  <c r="V35" i="1" s="1"/>
  <c r="X35" i="1" s="1"/>
  <c r="O35" i="1"/>
  <c r="Q35" i="1" s="1"/>
  <c r="N35" i="1"/>
  <c r="E35" i="1"/>
  <c r="F35" i="1" s="1"/>
  <c r="H35" i="1" s="1"/>
  <c r="BB35" i="1" s="1"/>
  <c r="BS34" i="1"/>
  <c r="BR34" i="1"/>
  <c r="BP34" i="1"/>
  <c r="BN34" i="1"/>
  <c r="BM34" i="1"/>
  <c r="BQ34" i="1" s="1"/>
  <c r="BA34" i="1"/>
  <c r="AU34" i="1"/>
  <c r="AW34" i="1" s="1"/>
  <c r="AX34" i="1" s="1"/>
  <c r="AQ34" i="1"/>
  <c r="AR34" i="1" s="1"/>
  <c r="AO34" i="1"/>
  <c r="AI34" i="1"/>
  <c r="AK34" i="1" s="1"/>
  <c r="AL34" i="1" s="1"/>
  <c r="AE34" i="1"/>
  <c r="AD34" i="1"/>
  <c r="AC34" i="1"/>
  <c r="AF34" i="1" s="1"/>
  <c r="AG34" i="1" s="1"/>
  <c r="AA34" i="1"/>
  <c r="Y34" i="1"/>
  <c r="W34" i="1"/>
  <c r="X34" i="1" s="1"/>
  <c r="U34" i="1"/>
  <c r="N34" i="1"/>
  <c r="P34" i="1" s="1"/>
  <c r="Q34" i="1" s="1"/>
  <c r="G34" i="1"/>
  <c r="H34" i="1" s="1"/>
  <c r="E34" i="1"/>
  <c r="BS33" i="1"/>
  <c r="BQ33" i="1"/>
  <c r="BM33" i="1"/>
  <c r="BH33" i="1"/>
  <c r="BA33" i="1"/>
  <c r="AV33" i="1"/>
  <c r="AX33" i="1" s="1"/>
  <c r="AU33" i="1"/>
  <c r="AO33" i="1"/>
  <c r="AP33" i="1" s="1"/>
  <c r="AR33" i="1" s="1"/>
  <c r="AE33" i="1"/>
  <c r="AD33" i="1"/>
  <c r="BF33" i="1" s="1"/>
  <c r="AC33" i="1"/>
  <c r="AA33" i="1"/>
  <c r="Y33" i="1"/>
  <c r="AI33" i="1" s="1"/>
  <c r="AJ33" i="1" s="1"/>
  <c r="AL33" i="1" s="1"/>
  <c r="U33" i="1"/>
  <c r="V33" i="1" s="1"/>
  <c r="X33" i="1" s="1"/>
  <c r="O33" i="1"/>
  <c r="Q33" i="1" s="1"/>
  <c r="N33" i="1"/>
  <c r="E33" i="1"/>
  <c r="F33" i="1" s="1"/>
  <c r="H33" i="1" s="1"/>
  <c r="BB33" i="1" s="1"/>
  <c r="BS32" i="1"/>
  <c r="BR32" i="1"/>
  <c r="BP32" i="1"/>
  <c r="BN32" i="1"/>
  <c r="BM32" i="1"/>
  <c r="BQ32" i="1" s="1"/>
  <c r="BA32" i="1"/>
  <c r="AU32" i="1"/>
  <c r="AV32" i="1" s="1"/>
  <c r="AX32" i="1" s="1"/>
  <c r="AP32" i="1"/>
  <c r="AR32" i="1" s="1"/>
  <c r="AO32" i="1"/>
  <c r="AI32" i="1"/>
  <c r="AJ32" i="1" s="1"/>
  <c r="AL32" i="1" s="1"/>
  <c r="AE32" i="1"/>
  <c r="AD32" i="1"/>
  <c r="AC32" i="1"/>
  <c r="AF32" i="1" s="1"/>
  <c r="AG32" i="1" s="1"/>
  <c r="AA32" i="1"/>
  <c r="Y32" i="1"/>
  <c r="V32" i="1"/>
  <c r="X32" i="1" s="1"/>
  <c r="U32" i="1"/>
  <c r="N32" i="1"/>
  <c r="O32" i="1" s="1"/>
  <c r="Q32" i="1" s="1"/>
  <c r="F32" i="1"/>
  <c r="H32" i="1" s="1"/>
  <c r="E32" i="1"/>
  <c r="BS31" i="1"/>
  <c r="BQ31" i="1"/>
  <c r="BM31" i="1"/>
  <c r="BH31" i="1"/>
  <c r="BA31" i="1"/>
  <c r="AW31" i="1"/>
  <c r="AX31" i="1" s="1"/>
  <c r="AU31" i="1"/>
  <c r="AO31" i="1"/>
  <c r="AQ31" i="1" s="1"/>
  <c r="AR31" i="1" s="1"/>
  <c r="AE31" i="1"/>
  <c r="AD31" i="1"/>
  <c r="BF31" i="1" s="1"/>
  <c r="AC31" i="1"/>
  <c r="AA31" i="1"/>
  <c r="Y31" i="1"/>
  <c r="AI31" i="1" s="1"/>
  <c r="AK31" i="1" s="1"/>
  <c r="AL31" i="1" s="1"/>
  <c r="U31" i="1"/>
  <c r="W31" i="1" s="1"/>
  <c r="X31" i="1" s="1"/>
  <c r="P31" i="1"/>
  <c r="Q31" i="1" s="1"/>
  <c r="N31" i="1"/>
  <c r="E31" i="1"/>
  <c r="G31" i="1" s="1"/>
  <c r="H31" i="1" s="1"/>
  <c r="BB31" i="1" s="1"/>
  <c r="BS30" i="1"/>
  <c r="BR30" i="1"/>
  <c r="BP30" i="1"/>
  <c r="BN30" i="1"/>
  <c r="BM30" i="1"/>
  <c r="BQ30" i="1" s="1"/>
  <c r="BA30" i="1"/>
  <c r="AX30" i="1"/>
  <c r="AU30" i="1"/>
  <c r="AW30" i="1" s="1"/>
  <c r="AQ30" i="1"/>
  <c r="AR30" i="1" s="1"/>
  <c r="AO30" i="1"/>
  <c r="AG30" i="1"/>
  <c r="AE30" i="1"/>
  <c r="AD30" i="1"/>
  <c r="BF30" i="1" s="1"/>
  <c r="AC30" i="1"/>
  <c r="AF30" i="1" s="1"/>
  <c r="AA30" i="1"/>
  <c r="AH30" i="1" s="1"/>
  <c r="Y30" i="1"/>
  <c r="AI30" i="1" s="1"/>
  <c r="AK30" i="1" s="1"/>
  <c r="AL30" i="1" s="1"/>
  <c r="W30" i="1"/>
  <c r="X30" i="1" s="1"/>
  <c r="U30" i="1"/>
  <c r="Q30" i="1"/>
  <c r="N30" i="1"/>
  <c r="P30" i="1" s="1"/>
  <c r="G30" i="1"/>
  <c r="H30" i="1" s="1"/>
  <c r="E30" i="1"/>
  <c r="BS29" i="1"/>
  <c r="BO29" i="1"/>
  <c r="BM29" i="1"/>
  <c r="BA29" i="1"/>
  <c r="AV29" i="1"/>
  <c r="AX29" i="1" s="1"/>
  <c r="AU29" i="1"/>
  <c r="AR29" i="1"/>
  <c r="AO29" i="1"/>
  <c r="AP29" i="1" s="1"/>
  <c r="AE29" i="1"/>
  <c r="AD29" i="1"/>
  <c r="BF29" i="1" s="1"/>
  <c r="AC29" i="1"/>
  <c r="AA29" i="1"/>
  <c r="Y29" i="1"/>
  <c r="X29" i="1"/>
  <c r="U29" i="1"/>
  <c r="W29" i="1" s="1"/>
  <c r="P29" i="1"/>
  <c r="Q29" i="1" s="1"/>
  <c r="N29" i="1"/>
  <c r="H29" i="1"/>
  <c r="E29" i="1"/>
  <c r="G29" i="1" s="1"/>
  <c r="BS28" i="1"/>
  <c r="BR28" i="1"/>
  <c r="BP28" i="1"/>
  <c r="BN28" i="1"/>
  <c r="BM28" i="1"/>
  <c r="BQ28" i="1" s="1"/>
  <c r="BA28" i="1"/>
  <c r="AX28" i="1"/>
  <c r="AU28" i="1"/>
  <c r="AV28" i="1" s="1"/>
  <c r="AP28" i="1"/>
  <c r="AR28" i="1" s="1"/>
  <c r="AO28" i="1"/>
  <c r="AG28" i="1"/>
  <c r="AE28" i="1"/>
  <c r="AD28" i="1"/>
  <c r="BF28" i="1" s="1"/>
  <c r="AC28" i="1"/>
  <c r="AF28" i="1" s="1"/>
  <c r="AA28" i="1"/>
  <c r="AH28" i="1" s="1"/>
  <c r="Y28" i="1"/>
  <c r="AI28" i="1" s="1"/>
  <c r="AK28" i="1" s="1"/>
  <c r="AL28" i="1" s="1"/>
  <c r="W28" i="1"/>
  <c r="X28" i="1" s="1"/>
  <c r="U28" i="1"/>
  <c r="Q28" i="1"/>
  <c r="N28" i="1"/>
  <c r="P28" i="1" s="1"/>
  <c r="G28" i="1"/>
  <c r="H28" i="1" s="1"/>
  <c r="BB28" i="1" s="1"/>
  <c r="E28" i="1"/>
  <c r="BS27" i="1"/>
  <c r="BO27" i="1"/>
  <c r="BM27" i="1"/>
  <c r="BA27" i="1"/>
  <c r="AV27" i="1"/>
  <c r="AX27" i="1" s="1"/>
  <c r="AU27" i="1"/>
  <c r="AR27" i="1"/>
  <c r="AO27" i="1"/>
  <c r="AP27" i="1" s="1"/>
  <c r="AE27" i="1"/>
  <c r="AD27" i="1"/>
  <c r="BF27" i="1" s="1"/>
  <c r="AC27" i="1"/>
  <c r="AA27" i="1"/>
  <c r="Y27" i="1"/>
  <c r="X27" i="1"/>
  <c r="U27" i="1"/>
  <c r="V27" i="1" s="1"/>
  <c r="O27" i="1"/>
  <c r="Q27" i="1" s="1"/>
  <c r="N27" i="1"/>
  <c r="H27" i="1"/>
  <c r="E27" i="1"/>
  <c r="F27" i="1" s="1"/>
  <c r="BS26" i="1"/>
  <c r="BR26" i="1"/>
  <c r="BP26" i="1"/>
  <c r="BN26" i="1"/>
  <c r="BM26" i="1"/>
  <c r="BQ26" i="1" s="1"/>
  <c r="BA26" i="1"/>
  <c r="AX26" i="1"/>
  <c r="AU26" i="1"/>
  <c r="AW26" i="1" s="1"/>
  <c r="AQ26" i="1"/>
  <c r="AR26" i="1" s="1"/>
  <c r="AO26" i="1"/>
  <c r="AG26" i="1"/>
  <c r="AE26" i="1"/>
  <c r="AD26" i="1"/>
  <c r="BF26" i="1" s="1"/>
  <c r="AC26" i="1"/>
  <c r="AF26" i="1" s="1"/>
  <c r="AA26" i="1"/>
  <c r="AH26" i="1" s="1"/>
  <c r="Y26" i="1"/>
  <c r="AI26" i="1" s="1"/>
  <c r="AJ26" i="1" s="1"/>
  <c r="AL26" i="1" s="1"/>
  <c r="V26" i="1"/>
  <c r="X26" i="1" s="1"/>
  <c r="U26" i="1"/>
  <c r="Q26" i="1"/>
  <c r="N26" i="1"/>
  <c r="O26" i="1" s="1"/>
  <c r="F26" i="1"/>
  <c r="H26" i="1" s="1"/>
  <c r="E26" i="1"/>
  <c r="BS25" i="1"/>
  <c r="BO25" i="1"/>
  <c r="BM25" i="1"/>
  <c r="BA25" i="1"/>
  <c r="AW25" i="1"/>
  <c r="AX25" i="1" s="1"/>
  <c r="AU25" i="1"/>
  <c r="AR25" i="1"/>
  <c r="AO25" i="1"/>
  <c r="AQ25" i="1" s="1"/>
  <c r="AE25" i="1"/>
  <c r="AD25" i="1"/>
  <c r="BF25" i="1" s="1"/>
  <c r="AC25" i="1"/>
  <c r="AA25" i="1"/>
  <c r="Y25" i="1"/>
  <c r="X25" i="1"/>
  <c r="U25" i="1"/>
  <c r="V25" i="1" s="1"/>
  <c r="O25" i="1"/>
  <c r="Q25" i="1" s="1"/>
  <c r="N25" i="1"/>
  <c r="H25" i="1"/>
  <c r="E25" i="1"/>
  <c r="F25" i="1" s="1"/>
  <c r="BS24" i="1"/>
  <c r="BR24" i="1"/>
  <c r="BP24" i="1"/>
  <c r="BN24" i="1"/>
  <c r="BM24" i="1"/>
  <c r="BQ24" i="1" s="1"/>
  <c r="BA24" i="1"/>
  <c r="AX24" i="1"/>
  <c r="AU24" i="1"/>
  <c r="AV24" i="1" s="1"/>
  <c r="AP24" i="1"/>
  <c r="AR24" i="1" s="1"/>
  <c r="AO24" i="1"/>
  <c r="AG24" i="1"/>
  <c r="AE24" i="1"/>
  <c r="AD24" i="1"/>
  <c r="BF24" i="1" s="1"/>
  <c r="AC24" i="1"/>
  <c r="AF24" i="1" s="1"/>
  <c r="AA24" i="1"/>
  <c r="AH24" i="1" s="1"/>
  <c r="Y24" i="1"/>
  <c r="AI24" i="1" s="1"/>
  <c r="AJ24" i="1" s="1"/>
  <c r="AL24" i="1" s="1"/>
  <c r="V24" i="1"/>
  <c r="X24" i="1" s="1"/>
  <c r="U24" i="1"/>
  <c r="Q24" i="1"/>
  <c r="N24" i="1"/>
  <c r="O24" i="1" s="1"/>
  <c r="F24" i="1"/>
  <c r="H24" i="1" s="1"/>
  <c r="BB24" i="1" s="1"/>
  <c r="E24" i="1"/>
  <c r="BS23" i="1"/>
  <c r="BO23" i="1"/>
  <c r="BM23" i="1"/>
  <c r="BA23" i="1"/>
  <c r="AV23" i="1"/>
  <c r="AX23" i="1" s="1"/>
  <c r="AU23" i="1"/>
  <c r="AR23" i="1"/>
  <c r="AO23" i="1"/>
  <c r="AP23" i="1" s="1"/>
  <c r="AE23" i="1"/>
  <c r="AD23" i="1"/>
  <c r="BF23" i="1" s="1"/>
  <c r="AC23" i="1"/>
  <c r="AA23" i="1"/>
  <c r="Y23" i="1"/>
  <c r="X23" i="1"/>
  <c r="U23" i="1"/>
  <c r="V23" i="1" s="1"/>
  <c r="O23" i="1"/>
  <c r="Q23" i="1" s="1"/>
  <c r="N23" i="1"/>
  <c r="H23" i="1"/>
  <c r="E23" i="1"/>
  <c r="F23" i="1" s="1"/>
  <c r="BS22" i="1"/>
  <c r="BR22" i="1"/>
  <c r="BP22" i="1"/>
  <c r="BN22" i="1"/>
  <c r="BM22" i="1"/>
  <c r="BQ22" i="1" s="1"/>
  <c r="BA22" i="1"/>
  <c r="AX22" i="1"/>
  <c r="AU22" i="1"/>
  <c r="AV22" i="1" s="1"/>
  <c r="AP22" i="1"/>
  <c r="AR22" i="1" s="1"/>
  <c r="AO22" i="1"/>
  <c r="AG22" i="1"/>
  <c r="AE22" i="1"/>
  <c r="AD22" i="1"/>
  <c r="BF22" i="1" s="1"/>
  <c r="AC22" i="1"/>
  <c r="AF22" i="1" s="1"/>
  <c r="AA22" i="1"/>
  <c r="AH22" i="1" s="1"/>
  <c r="Y22" i="1"/>
  <c r="AI22" i="1" s="1"/>
  <c r="AJ22" i="1" s="1"/>
  <c r="AL22" i="1" s="1"/>
  <c r="V22" i="1"/>
  <c r="X22" i="1" s="1"/>
  <c r="U22" i="1"/>
  <c r="Q22" i="1"/>
  <c r="N22" i="1"/>
  <c r="O22" i="1" s="1"/>
  <c r="F22" i="1"/>
  <c r="H22" i="1" s="1"/>
  <c r="E22" i="1"/>
  <c r="BS21" i="1"/>
  <c r="BO21" i="1"/>
  <c r="BM21" i="1"/>
  <c r="BA21" i="1"/>
  <c r="AV21" i="1"/>
  <c r="AX21" i="1" s="1"/>
  <c r="AU21" i="1"/>
  <c r="AO21" i="1"/>
  <c r="AP21" i="1" s="1"/>
  <c r="AR21" i="1" s="1"/>
  <c r="AE21" i="1"/>
  <c r="AD21" i="1"/>
  <c r="BF21" i="1" s="1"/>
  <c r="AC21" i="1"/>
  <c r="AA21" i="1"/>
  <c r="Y21" i="1"/>
  <c r="AI21" i="1" s="1"/>
  <c r="AK21" i="1" s="1"/>
  <c r="AL21" i="1" s="1"/>
  <c r="U21" i="1"/>
  <c r="W21" i="1" s="1"/>
  <c r="X21" i="1" s="1"/>
  <c r="P21" i="1"/>
  <c r="Q21" i="1" s="1"/>
  <c r="N21" i="1"/>
  <c r="E21" i="1"/>
  <c r="G21" i="1" s="1"/>
  <c r="H21" i="1" s="1"/>
  <c r="BB21" i="1" s="1"/>
  <c r="BS20" i="1"/>
  <c r="BR20" i="1"/>
  <c r="BP20" i="1"/>
  <c r="BN20" i="1"/>
  <c r="BM20" i="1"/>
  <c r="BQ20" i="1" s="1"/>
  <c r="BA20" i="1"/>
  <c r="AU20" i="1"/>
  <c r="AW20" i="1" s="1"/>
  <c r="AX20" i="1" s="1"/>
  <c r="AQ20" i="1"/>
  <c r="AR20" i="1" s="1"/>
  <c r="AO20" i="1"/>
  <c r="AE20" i="1"/>
  <c r="AD20" i="1"/>
  <c r="BF20" i="1" s="1"/>
  <c r="AC20" i="1"/>
  <c r="AF20" i="1" s="1"/>
  <c r="AG20" i="1" s="1"/>
  <c r="AA20" i="1"/>
  <c r="Y20" i="1"/>
  <c r="AI20" i="1" s="1"/>
  <c r="AK20" i="1" s="1"/>
  <c r="AL20" i="1" s="1"/>
  <c r="W20" i="1"/>
  <c r="X20" i="1" s="1"/>
  <c r="U20" i="1"/>
  <c r="N20" i="1"/>
  <c r="P20" i="1" s="1"/>
  <c r="Q20" i="1" s="1"/>
  <c r="G20" i="1"/>
  <c r="H20" i="1" s="1"/>
  <c r="BB20" i="1" s="1"/>
  <c r="E20" i="1"/>
  <c r="BS19" i="1"/>
  <c r="BM19" i="1"/>
  <c r="BR19" i="1" s="1"/>
  <c r="BA19" i="1"/>
  <c r="AV19" i="1"/>
  <c r="AX19" i="1" s="1"/>
  <c r="AU19" i="1"/>
  <c r="AO19" i="1"/>
  <c r="AP19" i="1" s="1"/>
  <c r="AR19" i="1" s="1"/>
  <c r="AE19" i="1"/>
  <c r="AD19" i="1"/>
  <c r="BF19" i="1" s="1"/>
  <c r="AC19" i="1"/>
  <c r="AA19" i="1"/>
  <c r="Y19" i="1"/>
  <c r="AI19" i="1" s="1"/>
  <c r="AJ19" i="1" s="1"/>
  <c r="AL19" i="1" s="1"/>
  <c r="U19" i="1"/>
  <c r="V19" i="1" s="1"/>
  <c r="X19" i="1" s="1"/>
  <c r="O19" i="1"/>
  <c r="Q19" i="1" s="1"/>
  <c r="N19" i="1"/>
  <c r="E19" i="1"/>
  <c r="F19" i="1" s="1"/>
  <c r="H19" i="1" s="1"/>
  <c r="BB19" i="1" s="1"/>
  <c r="BS18" i="1"/>
  <c r="BR18" i="1"/>
  <c r="BP18" i="1"/>
  <c r="BN18" i="1"/>
  <c r="BM18" i="1"/>
  <c r="BQ18" i="1" s="1"/>
  <c r="BA18" i="1"/>
  <c r="AU18" i="1"/>
  <c r="AW18" i="1" s="1"/>
  <c r="AX18" i="1" s="1"/>
  <c r="AQ18" i="1"/>
  <c r="AR18" i="1" s="1"/>
  <c r="AO18" i="1"/>
  <c r="AE18" i="1"/>
  <c r="AD18" i="1"/>
  <c r="BF18" i="1" s="1"/>
  <c r="AC18" i="1"/>
  <c r="AF18" i="1" s="1"/>
  <c r="AG18" i="1" s="1"/>
  <c r="AA18" i="1"/>
  <c r="Y18" i="1"/>
  <c r="AI18" i="1" s="1"/>
  <c r="AK18" i="1" s="1"/>
  <c r="AL18" i="1" s="1"/>
  <c r="W18" i="1"/>
  <c r="X18" i="1" s="1"/>
  <c r="U18" i="1"/>
  <c r="N18" i="1"/>
  <c r="P18" i="1" s="1"/>
  <c r="Q18" i="1" s="1"/>
  <c r="G18" i="1"/>
  <c r="H18" i="1" s="1"/>
  <c r="BB18" i="1" s="1"/>
  <c r="E18" i="1"/>
  <c r="BS17" i="1"/>
  <c r="BM17" i="1"/>
  <c r="BR17" i="1" s="1"/>
  <c r="BA17" i="1"/>
  <c r="AV17" i="1"/>
  <c r="AX17" i="1" s="1"/>
  <c r="AU17" i="1"/>
  <c r="AO17" i="1"/>
  <c r="AP17" i="1" s="1"/>
  <c r="AR17" i="1" s="1"/>
  <c r="AE17" i="1"/>
  <c r="AD17" i="1"/>
  <c r="BF17" i="1" s="1"/>
  <c r="AC17" i="1"/>
  <c r="AA17" i="1"/>
  <c r="Y17" i="1"/>
  <c r="AI17" i="1" s="1"/>
  <c r="AJ17" i="1" s="1"/>
  <c r="AL17" i="1" s="1"/>
  <c r="U17" i="1"/>
  <c r="V17" i="1" s="1"/>
  <c r="X17" i="1" s="1"/>
  <c r="O17" i="1"/>
  <c r="Q17" i="1" s="1"/>
  <c r="N17" i="1"/>
  <c r="E17" i="1"/>
  <c r="F17" i="1" s="1"/>
  <c r="H17" i="1" s="1"/>
  <c r="BB17" i="1" s="1"/>
  <c r="BS16" i="1"/>
  <c r="BR16" i="1"/>
  <c r="BP16" i="1"/>
  <c r="BN16" i="1"/>
  <c r="BM16" i="1"/>
  <c r="BQ16" i="1" s="1"/>
  <c r="BA16" i="1"/>
  <c r="AU16" i="1"/>
  <c r="AV16" i="1" s="1"/>
  <c r="AX16" i="1" s="1"/>
  <c r="AP16" i="1"/>
  <c r="AR16" i="1" s="1"/>
  <c r="AO16" i="1"/>
  <c r="AE16" i="1"/>
  <c r="AD16" i="1"/>
  <c r="BF16" i="1" s="1"/>
  <c r="AC16" i="1"/>
  <c r="AF16" i="1" s="1"/>
  <c r="AG16" i="1" s="1"/>
  <c r="AA16" i="1"/>
  <c r="Y16" i="1"/>
  <c r="AI16" i="1" s="1"/>
  <c r="AJ16" i="1" s="1"/>
  <c r="AL16" i="1" s="1"/>
  <c r="V16" i="1"/>
  <c r="X16" i="1" s="1"/>
  <c r="U16" i="1"/>
  <c r="N16" i="1"/>
  <c r="O16" i="1" s="1"/>
  <c r="Q16" i="1" s="1"/>
  <c r="F16" i="1"/>
  <c r="H16" i="1" s="1"/>
  <c r="BB16" i="1" s="1"/>
  <c r="E16" i="1"/>
  <c r="BS15" i="1"/>
  <c r="BM15" i="1"/>
  <c r="BR15" i="1" s="1"/>
  <c r="BA15" i="1"/>
  <c r="AV15" i="1"/>
  <c r="AX15" i="1" s="1"/>
  <c r="AU15" i="1"/>
  <c r="AO15" i="1"/>
  <c r="AP15" i="1" s="1"/>
  <c r="AR15" i="1" s="1"/>
  <c r="AE15" i="1"/>
  <c r="AD15" i="1"/>
  <c r="BF15" i="1" s="1"/>
  <c r="AC15" i="1"/>
  <c r="AA15" i="1"/>
  <c r="Y15" i="1"/>
  <c r="AI15" i="1" s="1"/>
  <c r="AJ15" i="1" s="1"/>
  <c r="AL15" i="1" s="1"/>
  <c r="U15" i="1"/>
  <c r="V15" i="1" s="1"/>
  <c r="X15" i="1" s="1"/>
  <c r="O15" i="1"/>
  <c r="Q15" i="1" s="1"/>
  <c r="N15" i="1"/>
  <c r="E15" i="1"/>
  <c r="F15" i="1" s="1"/>
  <c r="H15" i="1" s="1"/>
  <c r="BB15" i="1" s="1"/>
  <c r="BS14" i="1"/>
  <c r="BR14" i="1"/>
  <c r="BP14" i="1"/>
  <c r="BN14" i="1"/>
  <c r="BM14" i="1"/>
  <c r="BQ14" i="1" s="1"/>
  <c r="BA14" i="1"/>
  <c r="AU14" i="1"/>
  <c r="AV14" i="1" s="1"/>
  <c r="AX14" i="1" s="1"/>
  <c r="AP14" i="1"/>
  <c r="AR14" i="1" s="1"/>
  <c r="AO14" i="1"/>
  <c r="AE14" i="1"/>
  <c r="AD14" i="1"/>
  <c r="BF14" i="1" s="1"/>
  <c r="AC14" i="1"/>
  <c r="AF14" i="1" s="1"/>
  <c r="AG14" i="1" s="1"/>
  <c r="AA14" i="1"/>
  <c r="Y14" i="1"/>
  <c r="AI14" i="1" s="1"/>
  <c r="AJ14" i="1" s="1"/>
  <c r="AL14" i="1" s="1"/>
  <c r="V14" i="1"/>
  <c r="X14" i="1" s="1"/>
  <c r="U14" i="1"/>
  <c r="N14" i="1"/>
  <c r="O14" i="1" s="1"/>
  <c r="Q14" i="1" s="1"/>
  <c r="F14" i="1"/>
  <c r="H14" i="1" s="1"/>
  <c r="BB14" i="1" s="1"/>
  <c r="E14" i="1"/>
  <c r="BS13" i="1"/>
  <c r="BM13" i="1"/>
  <c r="BR13" i="1" s="1"/>
  <c r="BA13" i="1"/>
  <c r="AV13" i="1"/>
  <c r="AX13" i="1" s="1"/>
  <c r="AU13" i="1"/>
  <c r="AO13" i="1"/>
  <c r="AP13" i="1" s="1"/>
  <c r="AR13" i="1" s="1"/>
  <c r="AE13" i="1"/>
  <c r="AD13" i="1"/>
  <c r="BF13" i="1" s="1"/>
  <c r="AC13" i="1"/>
  <c r="AA13" i="1"/>
  <c r="Y13" i="1"/>
  <c r="AI13" i="1" s="1"/>
  <c r="AJ13" i="1" s="1"/>
  <c r="AL13" i="1" s="1"/>
  <c r="U13" i="1"/>
  <c r="V13" i="1" s="1"/>
  <c r="X13" i="1" s="1"/>
  <c r="O13" i="1"/>
  <c r="Q13" i="1" s="1"/>
  <c r="N13" i="1"/>
  <c r="E13" i="1"/>
  <c r="F13" i="1" s="1"/>
  <c r="H13" i="1" s="1"/>
  <c r="BB13" i="1" s="1"/>
  <c r="BS12" i="1"/>
  <c r="BR12" i="1"/>
  <c r="BP12" i="1"/>
  <c r="BN12" i="1"/>
  <c r="BM12" i="1"/>
  <c r="BQ12" i="1" s="1"/>
  <c r="BA12" i="1"/>
  <c r="AU12" i="1"/>
  <c r="AV12" i="1" s="1"/>
  <c r="AX12" i="1" s="1"/>
  <c r="AP12" i="1"/>
  <c r="AR12" i="1" s="1"/>
  <c r="AO12" i="1"/>
  <c r="AE12" i="1"/>
  <c r="AD12" i="1"/>
  <c r="AC12" i="1"/>
  <c r="AF12" i="1" s="1"/>
  <c r="AG12" i="1" s="1"/>
  <c r="AA12" i="1"/>
  <c r="Y12" i="1"/>
  <c r="AI12" i="1" s="1"/>
  <c r="AJ12" i="1" s="1"/>
  <c r="AL12" i="1" s="1"/>
  <c r="V12" i="1"/>
  <c r="X12" i="1" s="1"/>
  <c r="U12" i="1"/>
  <c r="N12" i="1"/>
  <c r="O12" i="1" s="1"/>
  <c r="Q12" i="1" s="1"/>
  <c r="F12" i="1"/>
  <c r="H12" i="1" s="1"/>
  <c r="E12" i="1"/>
  <c r="BS11" i="1"/>
  <c r="BM11" i="1"/>
  <c r="BA11" i="1"/>
  <c r="AV11" i="1"/>
  <c r="AX11" i="1" s="1"/>
  <c r="AU11" i="1"/>
  <c r="AO11" i="1"/>
  <c r="AP11" i="1" s="1"/>
  <c r="AR11" i="1" s="1"/>
  <c r="AE11" i="1"/>
  <c r="AD11" i="1"/>
  <c r="BF11" i="1" s="1"/>
  <c r="AC11" i="1"/>
  <c r="AA11" i="1"/>
  <c r="Y11" i="1"/>
  <c r="AI11" i="1" s="1"/>
  <c r="AJ11" i="1" s="1"/>
  <c r="AL11" i="1" s="1"/>
  <c r="U11" i="1"/>
  <c r="V11" i="1" s="1"/>
  <c r="X11" i="1" s="1"/>
  <c r="O11" i="1"/>
  <c r="Q11" i="1" s="1"/>
  <c r="N11" i="1"/>
  <c r="E11" i="1"/>
  <c r="F11" i="1" s="1"/>
  <c r="H11" i="1" s="1"/>
  <c r="BB11" i="1" s="1"/>
  <c r="BS10" i="1"/>
  <c r="BR10" i="1"/>
  <c r="BP10" i="1"/>
  <c r="BN10" i="1"/>
  <c r="BM10" i="1"/>
  <c r="BQ10" i="1" s="1"/>
  <c r="BA10" i="1"/>
  <c r="AU10" i="1"/>
  <c r="AV10" i="1" s="1"/>
  <c r="AX10" i="1" s="1"/>
  <c r="AP10" i="1"/>
  <c r="AR10" i="1" s="1"/>
  <c r="AO10" i="1"/>
  <c r="AE10" i="1"/>
  <c r="AE41" i="1" s="1"/>
  <c r="AD10" i="1"/>
  <c r="AC10" i="1"/>
  <c r="AA10" i="1"/>
  <c r="Y10" i="1"/>
  <c r="Y41" i="1" s="1"/>
  <c r="V10" i="1"/>
  <c r="X10" i="1" s="1"/>
  <c r="U10" i="1"/>
  <c r="N10" i="1"/>
  <c r="O10" i="1" s="1"/>
  <c r="Q10" i="1" s="1"/>
  <c r="F10" i="1"/>
  <c r="H10" i="1" s="1"/>
  <c r="E10" i="1"/>
  <c r="BK11" i="1" l="1"/>
  <c r="BI11" i="1"/>
  <c r="BG11" i="1"/>
  <c r="BJ11" i="1"/>
  <c r="BH11" i="1"/>
  <c r="AC41" i="1"/>
  <c r="AF10" i="1"/>
  <c r="AG10" i="1" s="1"/>
  <c r="AH10" i="1" s="1"/>
  <c r="AI10" i="1"/>
  <c r="AJ10" i="1" s="1"/>
  <c r="AL10" i="1" s="1"/>
  <c r="BB10" i="1" s="1"/>
  <c r="BR11" i="1"/>
  <c r="BR41" i="1" s="1"/>
  <c r="BP11" i="1"/>
  <c r="BN11" i="1"/>
  <c r="BN41" i="1" s="1"/>
  <c r="BQ11" i="1"/>
  <c r="BK25" i="1"/>
  <c r="BI25" i="1"/>
  <c r="BG25" i="1"/>
  <c r="BH25" i="1"/>
  <c r="BJ25" i="1"/>
  <c r="BK29" i="1"/>
  <c r="BI29" i="1"/>
  <c r="BG29" i="1"/>
  <c r="BH29" i="1"/>
  <c r="BJ29" i="1"/>
  <c r="AF11" i="1"/>
  <c r="AG11" i="1" s="1"/>
  <c r="AH11" i="1" s="1"/>
  <c r="BO11" i="1"/>
  <c r="BB12" i="1"/>
  <c r="AH12" i="1"/>
  <c r="BF12" i="1"/>
  <c r="BK13" i="1"/>
  <c r="BI13" i="1"/>
  <c r="BG13" i="1"/>
  <c r="BJ13" i="1"/>
  <c r="BH13" i="1"/>
  <c r="AH14" i="1"/>
  <c r="BJ14" i="1"/>
  <c r="BH14" i="1"/>
  <c r="BK14" i="1"/>
  <c r="BI14" i="1"/>
  <c r="BG14" i="1"/>
  <c r="BK15" i="1"/>
  <c r="BI15" i="1"/>
  <c r="BG15" i="1"/>
  <c r="BJ15" i="1"/>
  <c r="BH15" i="1"/>
  <c r="AH16" i="1"/>
  <c r="BJ16" i="1"/>
  <c r="BH16" i="1"/>
  <c r="BK16" i="1"/>
  <c r="BI16" i="1"/>
  <c r="BG16" i="1"/>
  <c r="BK17" i="1"/>
  <c r="BI17" i="1"/>
  <c r="BG17" i="1"/>
  <c r="BJ17" i="1"/>
  <c r="BH17" i="1"/>
  <c r="AH18" i="1"/>
  <c r="BJ18" i="1"/>
  <c r="BH18" i="1"/>
  <c r="BK18" i="1"/>
  <c r="BI18" i="1"/>
  <c r="BG18" i="1"/>
  <c r="BK19" i="1"/>
  <c r="BI19" i="1"/>
  <c r="BG19" i="1"/>
  <c r="BJ19" i="1"/>
  <c r="BH19" i="1"/>
  <c r="AH20" i="1"/>
  <c r="BJ20" i="1"/>
  <c r="BH20" i="1"/>
  <c r="BK20" i="1"/>
  <c r="BI20" i="1"/>
  <c r="BG20" i="1"/>
  <c r="BK21" i="1"/>
  <c r="BI21" i="1"/>
  <c r="BG21" i="1"/>
  <c r="BJ21" i="1"/>
  <c r="BH21" i="1"/>
  <c r="BB22" i="1"/>
  <c r="AH23" i="1"/>
  <c r="BK23" i="1"/>
  <c r="BI23" i="1"/>
  <c r="BG23" i="1"/>
  <c r="BH23" i="1"/>
  <c r="BJ23" i="1"/>
  <c r="BB26" i="1"/>
  <c r="BK27" i="1"/>
  <c r="BI27" i="1"/>
  <c r="BG27" i="1"/>
  <c r="BH27" i="1"/>
  <c r="BJ27" i="1"/>
  <c r="BB30" i="1"/>
  <c r="AF13" i="1"/>
  <c r="AG13" i="1" s="1"/>
  <c r="AH13" i="1" s="1"/>
  <c r="BO13" i="1"/>
  <c r="BQ13" i="1"/>
  <c r="BQ41" i="1" s="1"/>
  <c r="AF15" i="1"/>
  <c r="AG15" i="1" s="1"/>
  <c r="AH15" i="1" s="1"/>
  <c r="BO15" i="1"/>
  <c r="BQ15" i="1"/>
  <c r="AF17" i="1"/>
  <c r="AG17" i="1" s="1"/>
  <c r="AH17" i="1" s="1"/>
  <c r="BO17" i="1"/>
  <c r="BQ17" i="1"/>
  <c r="AF19" i="1"/>
  <c r="AG19" i="1" s="1"/>
  <c r="AH19" i="1" s="1"/>
  <c r="BO19" i="1"/>
  <c r="BQ19" i="1"/>
  <c r="AF21" i="1"/>
  <c r="AG21" i="1" s="1"/>
  <c r="AH21" i="1" s="1"/>
  <c r="BJ22" i="1"/>
  <c r="BH22" i="1"/>
  <c r="BI22" i="1"/>
  <c r="BB23" i="1"/>
  <c r="AF23" i="1"/>
  <c r="AG23" i="1" s="1"/>
  <c r="BJ24" i="1"/>
  <c r="BH24" i="1"/>
  <c r="BI24" i="1"/>
  <c r="AF25" i="1"/>
  <c r="AG25" i="1" s="1"/>
  <c r="AH25" i="1" s="1"/>
  <c r="BJ26" i="1"/>
  <c r="BH26" i="1"/>
  <c r="BI26" i="1"/>
  <c r="BB27" i="1"/>
  <c r="AF27" i="1"/>
  <c r="AG27" i="1" s="1"/>
  <c r="AH27" i="1" s="1"/>
  <c r="BJ28" i="1"/>
  <c r="BH28" i="1"/>
  <c r="BI28" i="1"/>
  <c r="AF29" i="1"/>
  <c r="AG29" i="1" s="1"/>
  <c r="AH29" i="1" s="1"/>
  <c r="BJ30" i="1"/>
  <c r="BH30" i="1"/>
  <c r="BI30" i="1"/>
  <c r="BK30" i="1"/>
  <c r="AA41" i="1"/>
  <c r="AD41" i="1"/>
  <c r="BF10" i="1"/>
  <c r="BO10" i="1"/>
  <c r="BO12" i="1"/>
  <c r="BN13" i="1"/>
  <c r="BP13" i="1"/>
  <c r="BP41" i="1" s="1"/>
  <c r="BO14" i="1"/>
  <c r="BN15" i="1"/>
  <c r="BP15" i="1"/>
  <c r="BO16" i="1"/>
  <c r="BN17" i="1"/>
  <c r="BP17" i="1"/>
  <c r="BO18" i="1"/>
  <c r="BN19" i="1"/>
  <c r="BP19" i="1"/>
  <c r="BO20" i="1"/>
  <c r="BR21" i="1"/>
  <c r="BP21" i="1"/>
  <c r="BN21" i="1"/>
  <c r="BQ21" i="1"/>
  <c r="BG22" i="1"/>
  <c r="BK22" i="1"/>
  <c r="AI23" i="1"/>
  <c r="AJ23" i="1" s="1"/>
  <c r="AL23" i="1" s="1"/>
  <c r="BR23" i="1"/>
  <c r="BP23" i="1"/>
  <c r="BN23" i="1"/>
  <c r="BQ23" i="1"/>
  <c r="BG24" i="1"/>
  <c r="BK24" i="1"/>
  <c r="AI25" i="1"/>
  <c r="AJ25" i="1" s="1"/>
  <c r="AL25" i="1" s="1"/>
  <c r="BB25" i="1" s="1"/>
  <c r="BR25" i="1"/>
  <c r="BP25" i="1"/>
  <c r="BN25" i="1"/>
  <c r="BQ25" i="1"/>
  <c r="BG26" i="1"/>
  <c r="BK26" i="1"/>
  <c r="AI27" i="1"/>
  <c r="AJ27" i="1" s="1"/>
  <c r="AL27" i="1" s="1"/>
  <c r="BR27" i="1"/>
  <c r="BP27" i="1"/>
  <c r="BN27" i="1"/>
  <c r="BQ27" i="1"/>
  <c r="BG28" i="1"/>
  <c r="BK28" i="1"/>
  <c r="AI29" i="1"/>
  <c r="AK29" i="1" s="1"/>
  <c r="AL29" i="1" s="1"/>
  <c r="BB29" i="1" s="1"/>
  <c r="BR29" i="1"/>
  <c r="BP29" i="1"/>
  <c r="BN29" i="1"/>
  <c r="BQ29" i="1"/>
  <c r="BG30" i="1"/>
  <c r="BK31" i="1"/>
  <c r="BI31" i="1"/>
  <c r="BG31" i="1"/>
  <c r="BJ31" i="1"/>
  <c r="BR31" i="1"/>
  <c r="BP31" i="1"/>
  <c r="BN31" i="1"/>
  <c r="BO31" i="1"/>
  <c r="BB32" i="1"/>
  <c r="BK33" i="1"/>
  <c r="BI33" i="1"/>
  <c r="BG33" i="1"/>
  <c r="BJ33" i="1"/>
  <c r="BR33" i="1"/>
  <c r="BP33" i="1"/>
  <c r="BN33" i="1"/>
  <c r="BO33" i="1"/>
  <c r="BB34" i="1"/>
  <c r="BK35" i="1"/>
  <c r="BI35" i="1"/>
  <c r="BG35" i="1"/>
  <c r="BJ35" i="1"/>
  <c r="BR35" i="1"/>
  <c r="BP35" i="1"/>
  <c r="BN35" i="1"/>
  <c r="BO35" i="1"/>
  <c r="BK36" i="1"/>
  <c r="BI36" i="1"/>
  <c r="BG36" i="1"/>
  <c r="BH36" i="1"/>
  <c r="BJ36" i="1"/>
  <c r="BO22" i="1"/>
  <c r="BO24" i="1"/>
  <c r="BO26" i="1"/>
  <c r="BO28" i="1"/>
  <c r="AF31" i="1"/>
  <c r="AG31" i="1" s="1"/>
  <c r="AH31" i="1" s="1"/>
  <c r="AH32" i="1"/>
  <c r="BF32" i="1"/>
  <c r="AF33" i="1"/>
  <c r="AG33" i="1" s="1"/>
  <c r="AH33" i="1" s="1"/>
  <c r="AH34" i="1"/>
  <c r="BF34" i="1"/>
  <c r="AF35" i="1"/>
  <c r="AG35" i="1" s="1"/>
  <c r="AH35" i="1" s="1"/>
  <c r="BB36" i="1"/>
  <c r="AH36" i="1"/>
  <c r="BO30" i="1"/>
  <c r="BO32" i="1"/>
  <c r="BO34" i="1"/>
  <c r="AI36" i="1"/>
  <c r="AJ36" i="1" s="1"/>
  <c r="AL36" i="1" s="1"/>
  <c r="BR36" i="1"/>
  <c r="BP36" i="1"/>
  <c r="BN36" i="1"/>
  <c r="BQ36" i="1"/>
  <c r="AH37" i="1"/>
  <c r="BK37" i="1"/>
  <c r="BI37" i="1"/>
  <c r="BG37" i="1"/>
  <c r="BJ37" i="1"/>
  <c r="BH37" i="1"/>
  <c r="BJ38" i="1"/>
  <c r="BH38" i="1"/>
  <c r="BK38" i="1"/>
  <c r="BI38" i="1"/>
  <c r="BG38" i="1"/>
  <c r="AH39" i="1"/>
  <c r="BK39" i="1"/>
  <c r="BI39" i="1"/>
  <c r="BG39" i="1"/>
  <c r="BJ39" i="1"/>
  <c r="BH39" i="1"/>
  <c r="AH40" i="1"/>
  <c r="BJ40" i="1"/>
  <c r="BH40" i="1"/>
  <c r="BK40" i="1"/>
  <c r="BI40" i="1"/>
  <c r="BG40" i="1"/>
  <c r="BO37" i="1"/>
  <c r="BN38" i="1"/>
  <c r="BP38" i="1"/>
  <c r="BR38" i="1"/>
  <c r="BO39" i="1"/>
  <c r="BN40" i="1"/>
  <c r="BP40" i="1"/>
  <c r="BR40" i="1"/>
  <c r="AF38" i="1"/>
  <c r="AG38" i="1" s="1"/>
  <c r="AH38" i="1" s="1"/>
  <c r="BO38" i="1"/>
  <c r="BO40" i="1"/>
  <c r="BQ43" i="1" l="1"/>
  <c r="BJ34" i="1"/>
  <c r="BH34" i="1"/>
  <c r="BI34" i="1"/>
  <c r="BG34" i="1"/>
  <c r="BK34" i="1"/>
  <c r="BJ10" i="1"/>
  <c r="BH10" i="1"/>
  <c r="BI10" i="1"/>
  <c r="BK10" i="1"/>
  <c r="BG10" i="1"/>
  <c r="BJ12" i="1"/>
  <c r="BH12" i="1"/>
  <c r="BK12" i="1"/>
  <c r="BI12" i="1"/>
  <c r="BG12" i="1"/>
  <c r="BP42" i="1"/>
  <c r="BP43" i="1" s="1"/>
  <c r="BQ42" i="1"/>
  <c r="BR42" i="1"/>
  <c r="BR43" i="1" s="1"/>
  <c r="BN42" i="1"/>
  <c r="BN43" i="1" s="1"/>
  <c r="BJ32" i="1"/>
  <c r="BH32" i="1"/>
  <c r="BI32" i="1"/>
  <c r="BG32" i="1"/>
  <c r="BK32" i="1"/>
  <c r="BO42" i="1"/>
  <c r="BO41" i="1"/>
  <c r="BO43" i="1" s="1"/>
  <c r="BG42" i="1" l="1"/>
  <c r="BG41" i="1"/>
  <c r="BG43" i="1" s="1"/>
  <c r="BI42" i="1"/>
  <c r="BI41" i="1"/>
  <c r="BI43" i="1" s="1"/>
  <c r="BJ42" i="1"/>
  <c r="BJ41" i="1"/>
  <c r="BJ43" i="1" s="1"/>
  <c r="BK42" i="1"/>
  <c r="BK41" i="1"/>
  <c r="BK43" i="1" s="1"/>
  <c r="BH42" i="1"/>
  <c r="BH41" i="1"/>
  <c r="BH43" i="1" s="1"/>
</calcChain>
</file>

<file path=xl/sharedStrings.xml><?xml version="1.0" encoding="utf-8"?>
<sst xmlns="http://schemas.openxmlformats.org/spreadsheetml/2006/main" count="160" uniqueCount="114">
  <si>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01.04.2026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</si>
  <si>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</si>
  <si>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</si>
  <si>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</si>
  <si>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</si>
  <si>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</si>
  <si>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</si>
  <si>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</si>
  <si>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</si>
  <si>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</si>
  <si>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</si>
  <si>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</si>
  <si>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</si>
  <si>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</si>
  <si>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</si>
  <si>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</si>
  <si>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</si>
  <si>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</si>
  <si>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</si>
  <si>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</si>
  <si>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</si>
  <si>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</si>
  <si>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</si>
  <si>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</si>
  <si>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</si>
  <si>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</si>
  <si>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</si>
  <si>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</si>
  <si>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</si>
  <si>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</si>
  <si>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</si>
  <si>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</si>
  <si>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</si>
  <si>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</si>
  <si>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</si>
  <si>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</si>
  <si>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</si>
  <si>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</si>
  <si>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</si>
  <si>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</si>
  <si>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</si>
  <si>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</si>
  <si>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</si>
  <si>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</si>
  <si>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</si>
  <si>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</si>
  <si>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</si>
  <si>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</si>
  <si>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</si>
  <si>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</si>
  <si>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</si>
  <si>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</si>
  <si>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</si>
  <si>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</si>
  <si>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</si>
  <si>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</si>
  <si>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</si>
  <si>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</si>
  <si>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</si>
  <si>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</si>
  <si>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</si>
  <si>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</si>
  <si>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</si>
  <si>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</si>
  <si>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</si>
  <si>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</si>
  <si>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</si>
  <si>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</si>
  <si>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</si>
  <si>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</si>
  <si>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</si>
  <si>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</si>
  <si>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</si>
  <si>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</si>
  <si>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</si>
  <si>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</si>
  <si>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</si>
  <si>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</si>
  <si>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</si>
  <si>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</si>
  <si>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</si>
  <si>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</si>
  <si>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</si>
  <si>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</si>
  <si>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</si>
  <si>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</si>
  <si>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</si>
  <si>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</si>
  <si>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</si>
  <si>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</si>
  <si>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</si>
  <si>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</si>
  <si>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</si>
  <si>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</si>
  <si>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</si>
  <si>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</si>
  <si>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</si>
  <si>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</si>
  <si>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</si>
  <si>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</si>
  <si>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</si>
  <si>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</si>
  <si>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</si>
  <si>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</si>
  <si>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</si>
  <si>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</si>
  <si>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</si>
  <si>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</si>
  <si>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</si>
  <si>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ГО</t>
  </si>
  <si>
    <t>получение кредитов (бюдж+банковские)</t>
  </si>
  <si>
    <t>итого источников</t>
  </si>
  <si>
    <t>погашение кредитов (бюдж+банковские)</t>
  </si>
  <si>
    <t>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</si>
</sst>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  <numFmt numFmtId="174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49"/>
    <xf numFmtId="0" fontId="1" fillId="16" borderId="50" applyNumberFormat="0" applyFont="0" applyAlignment="0" applyProtection="0"/>
    <xf numFmtId="0" fontId="16" fillId="0" borderId="0"/>
  </cellStyleXfs>
  <cellXfs count="157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/>
    <xf numFmtId="0" fontId="7" fillId="7" borderId="15" xfId="0" applyFont="1" applyFill="1" applyBorder="1" applyAlignment="1"/>
    <xf numFmtId="0" fontId="7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7" borderId="18" xfId="0" applyFont="1" applyFill="1" applyBorder="1" applyAlignment="1"/>
    <xf numFmtId="0" fontId="7" fillId="8" borderId="19" xfId="0" applyFont="1" applyFill="1" applyBorder="1" applyAlignment="1">
      <alignment horizontal="center"/>
    </xf>
    <xf numFmtId="0" fontId="7" fillId="8" borderId="14" xfId="0" applyFont="1" applyFill="1" applyBorder="1" applyAlignment="1"/>
    <xf numFmtId="0" fontId="7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166" fontId="7" fillId="9" borderId="27" xfId="0" applyNumberFormat="1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2" fillId="0" borderId="31" xfId="0" applyFont="1" applyBorder="1" applyAlignment="1">
      <alignment horizontal="center"/>
    </xf>
    <xf numFmtId="0" fontId="0" fillId="0" borderId="24" xfId="0" applyBorder="1"/>
    <xf numFmtId="0" fontId="0" fillId="2" borderId="0" xfId="0" applyFill="1" applyAlignment="1">
      <alignment horizontal="center"/>
    </xf>
    <xf numFmtId="0" fontId="13" fillId="12" borderId="32" xfId="0" applyFont="1" applyFill="1" applyBorder="1" applyAlignment="1">
      <alignment horizontal="center"/>
    </xf>
    <xf numFmtId="0" fontId="13" fillId="12" borderId="26" xfId="0" applyFont="1" applyFill="1" applyBorder="1" applyAlignment="1">
      <alignment horizontal="center"/>
    </xf>
    <xf numFmtId="0" fontId="13" fillId="12" borderId="27" xfId="0" applyFont="1" applyFill="1" applyBorder="1" applyAlignment="1">
      <alignment horizontal="center"/>
    </xf>
    <xf numFmtId="0" fontId="13" fillId="12" borderId="33" xfId="0" applyFont="1" applyFill="1" applyBorder="1" applyAlignment="1">
      <alignment horizontal="center"/>
    </xf>
    <xf numFmtId="0" fontId="13" fillId="12" borderId="28" xfId="0" applyFont="1" applyFill="1" applyBorder="1" applyAlignment="1">
      <alignment horizontal="center"/>
    </xf>
    <xf numFmtId="0" fontId="7" fillId="12" borderId="26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34" xfId="0" applyFont="1" applyBorder="1"/>
    <xf numFmtId="167" fontId="2" fillId="0" borderId="35" xfId="1" applyNumberFormat="1" applyFont="1" applyFill="1" applyBorder="1"/>
    <xf numFmtId="165" fontId="7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7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7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7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7" fillId="0" borderId="37" xfId="1" applyNumberFormat="1" applyFont="1" applyFill="1" applyBorder="1"/>
    <xf numFmtId="168" fontId="2" fillId="0" borderId="39" xfId="1" applyNumberFormat="1" applyFont="1" applyFill="1" applyBorder="1"/>
    <xf numFmtId="2" fontId="7" fillId="0" borderId="13" xfId="1" applyNumberFormat="1" applyFont="1" applyBorder="1"/>
    <xf numFmtId="169" fontId="2" fillId="0" borderId="36" xfId="1" applyNumberFormat="1" applyFont="1" applyBorder="1"/>
    <xf numFmtId="173" fontId="7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7" fillId="0" borderId="40" xfId="1" applyNumberFormat="1" applyFont="1" applyBorder="1"/>
    <xf numFmtId="4" fontId="2" fillId="2" borderId="0" xfId="0" applyNumberFormat="1" applyFont="1" applyFill="1"/>
    <xf numFmtId="166" fontId="2" fillId="0" borderId="0" xfId="0" applyNumberFormat="1" applyFont="1"/>
    <xf numFmtId="174" fontId="1" fillId="2" borderId="0" xfId="2" applyNumberFormat="1" applyFont="1" applyFill="1"/>
    <xf numFmtId="0" fontId="7" fillId="0" borderId="0" xfId="0" applyFont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2" fontId="7" fillId="0" borderId="13" xfId="1" applyNumberFormat="1" applyFont="1" applyFill="1" applyBorder="1"/>
    <xf numFmtId="0" fontId="2" fillId="0" borderId="41" xfId="0" applyFont="1" applyFill="1" applyBorder="1"/>
    <xf numFmtId="172" fontId="7" fillId="0" borderId="13" xfId="1" applyNumberFormat="1" applyFont="1" applyFill="1" applyBorder="1"/>
    <xf numFmtId="169" fontId="2" fillId="0" borderId="13" xfId="1" applyNumberFormat="1" applyFont="1" applyFill="1" applyBorder="1"/>
    <xf numFmtId="173" fontId="7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7" fillId="2" borderId="13" xfId="1" applyNumberFormat="1" applyFont="1" applyFill="1" applyBorder="1"/>
    <xf numFmtId="168" fontId="2" fillId="0" borderId="39" xfId="1" applyNumberFormat="1" applyFont="1" applyBorder="1"/>
    <xf numFmtId="174" fontId="1" fillId="13" borderId="0" xfId="2" applyNumberFormat="1" applyFont="1" applyFill="1"/>
    <xf numFmtId="0" fontId="2" fillId="14" borderId="41" xfId="0" applyFont="1" applyFill="1" applyBorder="1"/>
    <xf numFmtId="167" fontId="2" fillId="14" borderId="35" xfId="1" applyNumberFormat="1" applyFont="1" applyFill="1" applyBorder="1"/>
    <xf numFmtId="165" fontId="7" fillId="14" borderId="35" xfId="1" applyNumberFormat="1" applyFont="1" applyFill="1" applyBorder="1"/>
    <xf numFmtId="168" fontId="2" fillId="14" borderId="36" xfId="1" applyNumberFormat="1" applyFont="1" applyFill="1" applyBorder="1"/>
    <xf numFmtId="168" fontId="2" fillId="14" borderId="13" xfId="1" applyNumberFormat="1" applyFont="1" applyFill="1" applyBorder="1"/>
    <xf numFmtId="169" fontId="7" fillId="14" borderId="37" xfId="1" applyNumberFormat="1" applyFont="1" applyFill="1" applyBorder="1"/>
    <xf numFmtId="165" fontId="2" fillId="14" borderId="35" xfId="1" applyNumberFormat="1" applyFont="1" applyFill="1" applyBorder="1"/>
    <xf numFmtId="4" fontId="2" fillId="14" borderId="36" xfId="1" applyNumberFormat="1" applyFont="1" applyFill="1" applyBorder="1"/>
    <xf numFmtId="167" fontId="2" fillId="14" borderId="39" xfId="1" applyNumberFormat="1" applyFont="1" applyFill="1" applyBorder="1"/>
    <xf numFmtId="170" fontId="2" fillId="14" borderId="36" xfId="1" applyNumberFormat="1" applyFont="1" applyFill="1" applyBorder="1"/>
    <xf numFmtId="167" fontId="2" fillId="14" borderId="13" xfId="1" applyNumberFormat="1" applyFont="1" applyFill="1" applyBorder="1"/>
    <xf numFmtId="172" fontId="7" fillId="14" borderId="13" xfId="1" applyNumberFormat="1" applyFont="1" applyFill="1" applyBorder="1"/>
    <xf numFmtId="169" fontId="2" fillId="14" borderId="36" xfId="1" applyNumberFormat="1" applyFont="1" applyFill="1" applyBorder="1"/>
    <xf numFmtId="169" fontId="2" fillId="14" borderId="13" xfId="1" applyNumberFormat="1" applyFont="1" applyFill="1" applyBorder="1"/>
    <xf numFmtId="168" fontId="2" fillId="14" borderId="39" xfId="1" applyNumberFormat="1" applyFont="1" applyFill="1" applyBorder="1"/>
    <xf numFmtId="2" fontId="7" fillId="14" borderId="13" xfId="1" applyNumberFormat="1" applyFont="1" applyFill="1" applyBorder="1"/>
    <xf numFmtId="173" fontId="7" fillId="14" borderId="13" xfId="1" applyNumberFormat="1" applyFont="1" applyFill="1" applyBorder="1"/>
    <xf numFmtId="166" fontId="2" fillId="0" borderId="0" xfId="0" applyNumberFormat="1" applyFont="1" applyFill="1"/>
    <xf numFmtId="174" fontId="1" fillId="0" borderId="0" xfId="2" applyNumberFormat="1" applyFont="1" applyFill="1"/>
    <xf numFmtId="0" fontId="7" fillId="0" borderId="0" xfId="0" applyFont="1" applyFill="1"/>
    <xf numFmtId="0" fontId="2" fillId="13" borderId="41" xfId="0" applyFont="1" applyFill="1" applyBorder="1"/>
    <xf numFmtId="0" fontId="7" fillId="12" borderId="42" xfId="0" applyFont="1" applyFill="1" applyBorder="1" applyProtection="1"/>
    <xf numFmtId="168" fontId="7" fillId="12" borderId="43" xfId="1" applyNumberFormat="1" applyFont="1" applyFill="1" applyBorder="1" applyAlignment="1">
      <alignment horizontal="center"/>
    </xf>
    <xf numFmtId="168" fontId="7" fillId="12" borderId="44" xfId="1" applyNumberFormat="1" applyFont="1" applyFill="1" applyBorder="1" applyAlignment="1">
      <alignment horizontal="center"/>
    </xf>
    <xf numFmtId="168" fontId="7" fillId="12" borderId="45" xfId="1" applyNumberFormat="1" applyFont="1" applyFill="1" applyBorder="1" applyAlignment="1">
      <alignment horizontal="center"/>
    </xf>
    <xf numFmtId="165" fontId="7" fillId="12" borderId="44" xfId="1" applyNumberFormat="1" applyFont="1" applyFill="1" applyBorder="1" applyAlignment="1">
      <alignment horizontal="center"/>
    </xf>
    <xf numFmtId="164" fontId="7" fillId="12" borderId="44" xfId="1" applyNumberFormat="1" applyFont="1" applyFill="1" applyBorder="1" applyAlignment="1">
      <alignment horizontal="center"/>
    </xf>
    <xf numFmtId="169" fontId="7" fillId="12" borderId="46" xfId="1" applyNumberFormat="1" applyFont="1" applyFill="1" applyBorder="1" applyAlignment="1">
      <alignment horizontal="center"/>
    </xf>
    <xf numFmtId="169" fontId="7" fillId="12" borderId="44" xfId="1" applyNumberFormat="1" applyFont="1" applyFill="1" applyBorder="1" applyAlignment="1">
      <alignment horizontal="center"/>
    </xf>
    <xf numFmtId="169" fontId="7" fillId="12" borderId="47" xfId="1" applyNumberFormat="1" applyFont="1" applyFill="1" applyBorder="1" applyAlignment="1">
      <alignment horizontal="center"/>
    </xf>
    <xf numFmtId="168" fontId="7" fillId="12" borderId="47" xfId="1" applyNumberFormat="1" applyFont="1" applyFill="1" applyBorder="1" applyAlignment="1">
      <alignment horizontal="center"/>
    </xf>
    <xf numFmtId="168" fontId="7" fillId="12" borderId="46" xfId="1" applyNumberFormat="1" applyFont="1" applyFill="1" applyBorder="1" applyAlignment="1">
      <alignment horizontal="center"/>
    </xf>
    <xf numFmtId="168" fontId="7" fillId="12" borderId="48" xfId="1" applyNumberFormat="1" applyFont="1" applyFill="1" applyBorder="1" applyAlignment="1">
      <alignment horizontal="center"/>
    </xf>
    <xf numFmtId="0" fontId="0" fillId="15" borderId="0" xfId="0" applyFill="1"/>
    <xf numFmtId="0" fontId="14" fillId="15" borderId="0" xfId="0" applyFont="1" applyFill="1"/>
    <xf numFmtId="0" fontId="0" fillId="0" borderId="0" xfId="0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</cellXfs>
  <cellStyles count="6">
    <cellStyle name="xl24" xfId="3"/>
    <cellStyle name="Обычный" xfId="0" builtinId="0"/>
    <cellStyle name="Примечание 2" xfId="4"/>
    <cellStyle name="Процентный 2" xfId="2"/>
    <cellStyle name="Стиль 1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4"/>
  <sheetViews>
    <sheetView tabSelected="1" zoomScaleNormal="100" zoomScaleSheetLayoutView="70" workbookViewId="0">
      <pane xSplit="1" ySplit="10" topLeftCell="B29" activePane="bottomRight" state="frozen"/>
      <selection activeCell="A4" sqref="A4:A7"/>
      <selection pane="topRight" activeCell="A4" sqref="A4:A7"/>
      <selection pane="bottomLeft" activeCell="A4" sqref="A4:A7"/>
      <selection pane="bottomRight" activeCell="A43" sqref="A43:IV43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hidden="1" customWidth="1"/>
    <col min="42" max="42" width="16.90625" hidden="1" customWidth="1"/>
    <col min="43" max="43" width="21.08984375" hidden="1" customWidth="1"/>
    <col min="44" max="44" width="20.453125" hidden="1" customWidth="1"/>
    <col min="45" max="45" width="32" hidden="1" customWidth="1"/>
    <col min="46" max="46" width="27.453125" hidden="1" customWidth="1"/>
    <col min="47" max="47" width="31.54296875" hidden="1" customWidth="1"/>
    <col min="48" max="48" width="15.1796875" hidden="1" customWidth="1"/>
    <col min="49" max="49" width="24" hidden="1" customWidth="1"/>
    <col min="50" max="50" width="16.1796875" hidden="1" customWidth="1"/>
    <col min="51" max="52" width="17.90625" hidden="1" customWidth="1"/>
    <col min="53" max="53" width="14.90625" hidden="1" customWidth="1"/>
    <col min="54" max="54" width="13.90625" customWidth="1"/>
    <col min="55" max="55" width="12.36328125" style="9" hidden="1" customWidth="1"/>
    <col min="56" max="56" width="13.90625" hidden="1" customWidth="1"/>
    <col min="57" max="59" width="0" style="9" hidden="1" customWidth="1"/>
    <col min="60" max="62" width="12.36328125" style="9" hidden="1" customWidth="1"/>
    <col min="63" max="63" width="11" style="9" hidden="1" customWidth="1"/>
    <col min="64" max="66" width="0" style="9" hidden="1" customWidth="1"/>
    <col min="67" max="67" width="12.36328125" style="9" hidden="1" customWidth="1"/>
    <col min="68" max="68" width="12.90625" style="9" hidden="1" customWidth="1"/>
    <col min="69" max="69" width="13" style="9" hidden="1" customWidth="1"/>
    <col min="70" max="70" width="11" style="9" hidden="1" customWidth="1"/>
    <col min="71" max="71" width="0" style="9" hidden="1" customWidth="1"/>
    <col min="72" max="16384" width="9.08984375" style="9"/>
  </cols>
  <sheetData>
    <row r="1" spans="1:71" s="7" customFormat="1" ht="16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>
        <v>1000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5"/>
      <c r="AN1" s="6"/>
      <c r="AO1" s="6"/>
      <c r="AP1" s="6"/>
      <c r="AQ1" s="5"/>
      <c r="AR1" s="4"/>
      <c r="AS1" s="5"/>
      <c r="AT1" s="5"/>
      <c r="AU1" s="6"/>
      <c r="AV1" s="6"/>
      <c r="AW1" s="5"/>
      <c r="AX1" s="1"/>
      <c r="BB1" s="1"/>
      <c r="BD1" s="1"/>
    </row>
    <row r="2" spans="1:71" ht="12.75" hidden="1" customHeight="1" x14ac:dyDescent="0.3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BC2" s="7"/>
      <c r="BD2" s="1"/>
    </row>
    <row r="3" spans="1:71" ht="13.5" thickBot="1" x14ac:dyDescent="0.35">
      <c r="A3" s="10" t="s">
        <v>1</v>
      </c>
      <c r="B3" s="11"/>
      <c r="C3" s="11"/>
      <c r="D3" s="11"/>
      <c r="E3" s="11"/>
      <c r="F3" s="11"/>
      <c r="G3" s="11"/>
      <c r="H3" s="11"/>
      <c r="I3" s="8"/>
      <c r="J3" s="8"/>
      <c r="K3" s="12"/>
      <c r="L3" s="8"/>
      <c r="M3" s="8"/>
      <c r="N3" s="8"/>
      <c r="O3" s="8"/>
      <c r="P3" s="8"/>
      <c r="Q3" s="8"/>
      <c r="R3" s="4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>
        <v>1000</v>
      </c>
      <c r="AO3" s="8"/>
      <c r="AP3" s="8"/>
      <c r="AQ3" s="8"/>
      <c r="AR3" s="8"/>
      <c r="AS3" s="8"/>
      <c r="BC3" s="7"/>
      <c r="BD3" s="1"/>
    </row>
    <row r="4" spans="1:71" ht="13.5" customHeight="1" thickTop="1" x14ac:dyDescent="0.3">
      <c r="A4" s="13" t="s">
        <v>2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7"/>
      <c r="AN4" s="18"/>
      <c r="AO4" s="18"/>
      <c r="AP4" s="18"/>
      <c r="AQ4" s="18"/>
      <c r="AR4" s="20"/>
      <c r="AS4" s="17"/>
      <c r="AT4" s="18"/>
      <c r="AU4" s="18"/>
      <c r="AV4" s="18"/>
      <c r="AW4" s="18"/>
      <c r="AX4" s="20"/>
      <c r="AY4" s="21"/>
      <c r="AZ4" s="22"/>
      <c r="BA4" s="23"/>
      <c r="BB4" s="24"/>
      <c r="BC4" s="7"/>
      <c r="BD4" s="1"/>
    </row>
    <row r="5" spans="1:71" ht="13.5" customHeight="1" thickBot="1" x14ac:dyDescent="0.35">
      <c r="A5" s="25"/>
      <c r="B5" s="26"/>
      <c r="C5" s="27"/>
      <c r="D5" s="27"/>
      <c r="E5" s="28" t="s">
        <v>3</v>
      </c>
      <c r="F5" s="29"/>
      <c r="G5" s="30"/>
      <c r="H5" s="31"/>
      <c r="I5" s="32"/>
      <c r="J5" s="33"/>
      <c r="K5" s="34"/>
      <c r="L5" s="35"/>
      <c r="M5" s="36"/>
      <c r="N5" s="28" t="s">
        <v>4</v>
      </c>
      <c r="O5" s="29"/>
      <c r="P5" s="30"/>
      <c r="Q5" s="31"/>
      <c r="R5" s="37"/>
      <c r="S5" s="27"/>
      <c r="T5" s="27"/>
      <c r="U5" s="28" t="s">
        <v>5</v>
      </c>
      <c r="V5" s="29"/>
      <c r="W5" s="30"/>
      <c r="X5" s="31"/>
      <c r="Y5" s="38"/>
      <c r="Z5" s="27"/>
      <c r="AA5" s="27"/>
      <c r="AB5" s="36"/>
      <c r="AC5" s="36"/>
      <c r="AD5" s="36"/>
      <c r="AE5" s="36"/>
      <c r="AF5" s="36"/>
      <c r="AG5" s="36"/>
      <c r="AH5" s="36"/>
      <c r="AI5" s="28" t="s">
        <v>6</v>
      </c>
      <c r="AJ5" s="29"/>
      <c r="AK5" s="30"/>
      <c r="AL5" s="39"/>
      <c r="AM5" s="37"/>
      <c r="AN5" s="27"/>
      <c r="AO5" s="28" t="s">
        <v>7</v>
      </c>
      <c r="AP5" s="29"/>
      <c r="AQ5" s="30"/>
      <c r="AR5" s="39"/>
      <c r="AS5" s="37"/>
      <c r="AT5" s="27"/>
      <c r="AU5" s="28" t="s">
        <v>8</v>
      </c>
      <c r="AV5" s="29"/>
      <c r="AW5" s="30"/>
      <c r="AX5" s="39"/>
      <c r="AY5" s="40" t="s">
        <v>9</v>
      </c>
      <c r="AZ5" s="41"/>
      <c r="BA5" s="42"/>
      <c r="BB5" s="43"/>
      <c r="BC5" s="7"/>
      <c r="BD5" s="1"/>
    </row>
    <row r="6" spans="1:71" ht="159.75" customHeight="1" thickBot="1" x14ac:dyDescent="0.35">
      <c r="A6" s="25"/>
      <c r="B6" s="44" t="s">
        <v>10</v>
      </c>
      <c r="C6" s="44" t="s">
        <v>11</v>
      </c>
      <c r="D6" s="44" t="s">
        <v>12</v>
      </c>
      <c r="E6" s="44" t="s">
        <v>13</v>
      </c>
      <c r="F6" s="45" t="s">
        <v>14</v>
      </c>
      <c r="G6" s="45" t="s">
        <v>15</v>
      </c>
      <c r="H6" s="46" t="s">
        <v>16</v>
      </c>
      <c r="I6" s="44" t="s">
        <v>17</v>
      </c>
      <c r="J6" s="44" t="s">
        <v>18</v>
      </c>
      <c r="K6" s="44" t="s">
        <v>19</v>
      </c>
      <c r="L6" s="44" t="s">
        <v>20</v>
      </c>
      <c r="M6" s="44" t="s">
        <v>21</v>
      </c>
      <c r="N6" s="44" t="s">
        <v>22</v>
      </c>
      <c r="O6" s="45" t="s">
        <v>14</v>
      </c>
      <c r="P6" s="45" t="s">
        <v>15</v>
      </c>
      <c r="Q6" s="46" t="s">
        <v>16</v>
      </c>
      <c r="R6" s="44" t="s">
        <v>23</v>
      </c>
      <c r="S6" s="44" t="s">
        <v>24</v>
      </c>
      <c r="T6" s="44" t="s">
        <v>25</v>
      </c>
      <c r="U6" s="44" t="s">
        <v>26</v>
      </c>
      <c r="V6" s="45" t="s">
        <v>14</v>
      </c>
      <c r="W6" s="45" t="s">
        <v>15</v>
      </c>
      <c r="X6" s="46" t="s">
        <v>16</v>
      </c>
      <c r="Y6" s="44" t="s">
        <v>27</v>
      </c>
      <c r="Z6" s="44" t="s">
        <v>28</v>
      </c>
      <c r="AA6" s="44" t="s">
        <v>29</v>
      </c>
      <c r="AB6" s="44" t="s">
        <v>30</v>
      </c>
      <c r="AC6" s="44" t="s">
        <v>31</v>
      </c>
      <c r="AD6" s="44" t="s">
        <v>32</v>
      </c>
      <c r="AE6" s="44" t="s">
        <v>33</v>
      </c>
      <c r="AF6" s="47" t="s">
        <v>34</v>
      </c>
      <c r="AG6" s="47" t="s">
        <v>35</v>
      </c>
      <c r="AH6" s="47" t="s">
        <v>36</v>
      </c>
      <c r="AI6" s="44" t="s">
        <v>37</v>
      </c>
      <c r="AJ6" s="45" t="s">
        <v>14</v>
      </c>
      <c r="AK6" s="45" t="s">
        <v>15</v>
      </c>
      <c r="AL6" s="45" t="s">
        <v>16</v>
      </c>
      <c r="AM6" s="48" t="s">
        <v>38</v>
      </c>
      <c r="AN6" s="44" t="s">
        <v>39</v>
      </c>
      <c r="AO6" s="44" t="s">
        <v>40</v>
      </c>
      <c r="AP6" s="45" t="s">
        <v>14</v>
      </c>
      <c r="AQ6" s="45" t="s">
        <v>15</v>
      </c>
      <c r="AR6" s="45" t="s">
        <v>16</v>
      </c>
      <c r="AS6" s="48" t="s">
        <v>41</v>
      </c>
      <c r="AT6" s="44" t="s">
        <v>42</v>
      </c>
      <c r="AU6" s="44" t="s">
        <v>43</v>
      </c>
      <c r="AV6" s="45" t="s">
        <v>14</v>
      </c>
      <c r="AW6" s="45" t="s">
        <v>15</v>
      </c>
      <c r="AX6" s="45" t="s">
        <v>16</v>
      </c>
      <c r="AY6" s="48" t="s">
        <v>44</v>
      </c>
      <c r="AZ6" s="45" t="s">
        <v>14</v>
      </c>
      <c r="BA6" s="46" t="s">
        <v>16</v>
      </c>
      <c r="BB6" s="49" t="s">
        <v>45</v>
      </c>
      <c r="BC6" s="7"/>
      <c r="BD6" s="1" t="s">
        <v>46</v>
      </c>
    </row>
    <row r="7" spans="1:71" ht="53" thickTop="1" thickBot="1" x14ac:dyDescent="0.35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51</v>
      </c>
      <c r="H7" s="52">
        <v>1</v>
      </c>
      <c r="I7" s="51" t="s">
        <v>47</v>
      </c>
      <c r="J7" s="51" t="s">
        <v>48</v>
      </c>
      <c r="K7" s="51" t="s">
        <v>49</v>
      </c>
      <c r="L7" s="51" t="s">
        <v>52</v>
      </c>
      <c r="M7" s="51"/>
      <c r="N7" s="51" t="s">
        <v>53</v>
      </c>
      <c r="O7" s="51" t="s">
        <v>51</v>
      </c>
      <c r="P7" s="51" t="s">
        <v>54</v>
      </c>
      <c r="Q7" s="52">
        <v>1</v>
      </c>
      <c r="R7" s="51" t="s">
        <v>47</v>
      </c>
      <c r="S7" s="51" t="s">
        <v>48</v>
      </c>
      <c r="T7" s="51" t="s">
        <v>49</v>
      </c>
      <c r="U7" s="51" t="s">
        <v>55</v>
      </c>
      <c r="V7" s="51" t="s">
        <v>56</v>
      </c>
      <c r="W7" s="51" t="s">
        <v>56</v>
      </c>
      <c r="X7" s="52">
        <v>1</v>
      </c>
      <c r="Y7" s="51" t="s">
        <v>47</v>
      </c>
      <c r="Z7" s="51" t="s">
        <v>48</v>
      </c>
      <c r="AA7" s="51" t="s">
        <v>49</v>
      </c>
      <c r="AB7" s="51" t="s">
        <v>57</v>
      </c>
      <c r="AC7" s="51" t="s">
        <v>52</v>
      </c>
      <c r="AD7" s="51" t="s">
        <v>58</v>
      </c>
      <c r="AE7" s="51" t="s">
        <v>59</v>
      </c>
      <c r="AF7" s="53"/>
      <c r="AG7" s="53"/>
      <c r="AH7" s="53"/>
      <c r="AI7" s="51" t="s">
        <v>60</v>
      </c>
      <c r="AJ7" s="51" t="s">
        <v>61</v>
      </c>
      <c r="AK7" s="51" t="s">
        <v>62</v>
      </c>
      <c r="AL7" s="51">
        <v>1.5</v>
      </c>
      <c r="AM7" s="51" t="s">
        <v>47</v>
      </c>
      <c r="AN7" s="51" t="s">
        <v>48</v>
      </c>
      <c r="AO7" s="51" t="s">
        <v>63</v>
      </c>
      <c r="AP7" s="51" t="s">
        <v>51</v>
      </c>
      <c r="AQ7" s="51" t="s">
        <v>51</v>
      </c>
      <c r="AR7" s="51">
        <v>1</v>
      </c>
      <c r="AS7" s="51" t="s">
        <v>47</v>
      </c>
      <c r="AT7" s="51" t="s">
        <v>48</v>
      </c>
      <c r="AU7" s="51" t="s">
        <v>63</v>
      </c>
      <c r="AV7" s="51" t="s">
        <v>51</v>
      </c>
      <c r="AW7" s="51" t="s">
        <v>51</v>
      </c>
      <c r="AX7" s="51">
        <v>1</v>
      </c>
      <c r="AY7" s="54" t="s">
        <v>47</v>
      </c>
      <c r="AZ7" s="51">
        <v>1</v>
      </c>
      <c r="BA7" s="55">
        <v>1</v>
      </c>
      <c r="BB7" s="56"/>
      <c r="BC7" s="7"/>
      <c r="BD7" s="1"/>
    </row>
    <row r="8" spans="1:71" ht="14.5" thickTop="1" thickBot="1" x14ac:dyDescent="0.35">
      <c r="A8" s="57"/>
      <c r="B8" s="58" t="s">
        <v>64</v>
      </c>
      <c r="C8" s="58" t="s">
        <v>64</v>
      </c>
      <c r="D8" s="58" t="s">
        <v>64</v>
      </c>
      <c r="E8" s="58"/>
      <c r="F8" s="58"/>
      <c r="G8" s="58"/>
      <c r="H8" s="59"/>
      <c r="I8" s="60"/>
      <c r="J8" s="58"/>
      <c r="K8" s="58"/>
      <c r="L8" s="61"/>
      <c r="M8" s="61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2" t="s">
        <v>64</v>
      </c>
      <c r="Z8" s="58"/>
      <c r="AA8" s="58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58"/>
      <c r="AO8" s="58"/>
      <c r="AP8" s="58"/>
      <c r="AQ8" s="58"/>
      <c r="AR8" s="58"/>
      <c r="AS8" s="63"/>
      <c r="AT8" s="58"/>
      <c r="AU8" s="58"/>
      <c r="AV8" s="58"/>
      <c r="AW8" s="58"/>
      <c r="AX8" s="58"/>
      <c r="AY8" s="64"/>
      <c r="AZ8" s="58"/>
      <c r="BA8" s="59"/>
      <c r="BB8" s="65"/>
      <c r="BC8" s="7"/>
      <c r="BD8" s="1"/>
      <c r="BM8" s="66" t="s">
        <v>65</v>
      </c>
    </row>
    <row r="9" spans="1:71" ht="14" thickTop="1" thickBot="1" x14ac:dyDescent="0.35">
      <c r="A9" s="67"/>
      <c r="B9" s="68"/>
      <c r="C9" s="68"/>
      <c r="D9" s="68"/>
      <c r="E9" s="68"/>
      <c r="F9" s="68"/>
      <c r="G9" s="68"/>
      <c r="H9" s="69"/>
      <c r="I9" s="70"/>
      <c r="J9" s="68"/>
      <c r="K9" s="68"/>
      <c r="L9" s="68"/>
      <c r="M9" s="68"/>
      <c r="N9" s="68"/>
      <c r="O9" s="68"/>
      <c r="P9" s="68"/>
      <c r="Q9" s="69"/>
      <c r="R9" s="70"/>
      <c r="S9" s="68"/>
      <c r="T9" s="68"/>
      <c r="U9" s="68"/>
      <c r="V9" s="68"/>
      <c r="W9" s="68"/>
      <c r="X9" s="69"/>
      <c r="Y9" s="71"/>
      <c r="Z9" s="68"/>
      <c r="AA9" s="68"/>
      <c r="AB9" s="68"/>
      <c r="AC9" s="68"/>
      <c r="AD9" s="68"/>
      <c r="AE9" s="68"/>
      <c r="AF9" s="68"/>
      <c r="AG9" s="68"/>
      <c r="AH9" s="68"/>
      <c r="AI9" s="72" t="s">
        <v>66</v>
      </c>
      <c r="AJ9" s="68"/>
      <c r="AK9" s="68"/>
      <c r="AL9" s="68"/>
      <c r="AM9" s="70"/>
      <c r="AN9" s="68"/>
      <c r="AO9" s="68"/>
      <c r="AP9" s="68"/>
      <c r="AQ9" s="68"/>
      <c r="AR9" s="68"/>
      <c r="AS9" s="70"/>
      <c r="AT9" s="68"/>
      <c r="AU9" s="68"/>
      <c r="AV9" s="68"/>
      <c r="AW9" s="68"/>
      <c r="AX9" s="68"/>
      <c r="AY9" s="70"/>
      <c r="AZ9" s="68"/>
      <c r="BA9" s="69"/>
      <c r="BB9" s="73"/>
      <c r="BC9" s="7"/>
      <c r="BD9" s="1"/>
      <c r="BG9" s="9" t="s">
        <v>67</v>
      </c>
      <c r="BH9" s="74" t="s">
        <v>68</v>
      </c>
      <c r="BI9" s="9" t="s">
        <v>69</v>
      </c>
      <c r="BJ9" s="9" t="s">
        <v>70</v>
      </c>
      <c r="BK9" s="9" t="s">
        <v>71</v>
      </c>
      <c r="BM9" s="66" t="s">
        <v>72</v>
      </c>
      <c r="BN9" s="9" t="s">
        <v>73</v>
      </c>
      <c r="BO9" s="74" t="s">
        <v>74</v>
      </c>
      <c r="BP9" s="9" t="s">
        <v>75</v>
      </c>
      <c r="BQ9" s="9" t="s">
        <v>76</v>
      </c>
      <c r="BR9" s="9" t="s">
        <v>71</v>
      </c>
    </row>
    <row r="10" spans="1:71" ht="13.5" thickTop="1" x14ac:dyDescent="0.3">
      <c r="A10" s="75" t="s">
        <v>77</v>
      </c>
      <c r="B10" s="76">
        <v>2365139.9</v>
      </c>
      <c r="C10" s="76">
        <v>434739.3</v>
      </c>
      <c r="D10" s="76">
        <v>2365139.9</v>
      </c>
      <c r="E10" s="77">
        <f t="shared" ref="E10:E40" si="0">IF(AND(B10=0,D10=0),0,B10/(IF(C10&gt;0,C10,0)+D10))</f>
        <v>0.84472926546259575</v>
      </c>
      <c r="F10" s="78">
        <f>IF(E10&lt;=1.05,1,0)</f>
        <v>1</v>
      </c>
      <c r="G10" s="79"/>
      <c r="H10" s="80">
        <f t="shared" ref="H10:H40" si="1">F10+G10</f>
        <v>1</v>
      </c>
      <c r="I10" s="81">
        <v>2796139.915</v>
      </c>
      <c r="J10" s="81">
        <v>20906400.800000001</v>
      </c>
      <c r="K10" s="82">
        <v>15256559</v>
      </c>
      <c r="L10" s="81">
        <v>452455.4</v>
      </c>
      <c r="M10" s="83">
        <v>0</v>
      </c>
      <c r="N10" s="84">
        <f>(I10)/(J10-K10-L10)</f>
        <v>0.53798961628098307</v>
      </c>
      <c r="O10" s="78">
        <f t="shared" ref="O10:O16" si="2">IF(N10&lt;=1,1,0)</f>
        <v>1</v>
      </c>
      <c r="P10" s="79"/>
      <c r="Q10" s="80">
        <f t="shared" ref="Q10:Q40" si="3">O10+P10</f>
        <v>1</v>
      </c>
      <c r="R10" s="85">
        <v>389621.04860000004</v>
      </c>
      <c r="S10" s="76">
        <v>21365118.699999999</v>
      </c>
      <c r="T10" s="86">
        <v>6744696.8909999998</v>
      </c>
      <c r="U10" s="77">
        <f t="shared" ref="U10:U40" si="4">R10/(S10-T10)</f>
        <v>2.6649097658739105E-2</v>
      </c>
      <c r="V10" s="78">
        <f t="shared" ref="V10:V16" si="5">IF(U10&lt;=0.15,1,0)</f>
        <v>1</v>
      </c>
      <c r="W10" s="79"/>
      <c r="X10" s="80">
        <f t="shared" ref="X10:X40" si="6">V10+W10</f>
        <v>1</v>
      </c>
      <c r="Y10" s="76">
        <f t="shared" ref="Y10:Y40" si="7">C10</f>
        <v>434739.3</v>
      </c>
      <c r="Z10" s="87"/>
      <c r="AA10" s="88">
        <f>C10</f>
        <v>434739.3</v>
      </c>
      <c r="AB10" s="89"/>
      <c r="AC10" s="89">
        <f t="shared" ref="AC10:AE25" si="8">J10</f>
        <v>20906400.800000001</v>
      </c>
      <c r="AD10" s="89">
        <f t="shared" si="8"/>
        <v>15256559</v>
      </c>
      <c r="AE10" s="88">
        <f t="shared" si="8"/>
        <v>452455.4</v>
      </c>
      <c r="AF10" s="89">
        <f t="shared" ref="AF10:AF40" si="9">AC10-AD10-AE10</f>
        <v>5197386.4000000004</v>
      </c>
      <c r="AG10" s="89">
        <f t="shared" ref="AG10:AG24" si="10">AF10*10%</f>
        <v>519738.64000000007</v>
      </c>
      <c r="AH10" s="89">
        <f t="shared" ref="AH10:AH16" si="11">IF(AA10&gt;0,AA10,0)+AG10+IF(AB10&gt;0,AB10,0)</f>
        <v>954477.94000000006</v>
      </c>
      <c r="AI10" s="90">
        <f t="shared" ref="AI10:AI40" si="12">IF((Y10-IF(Z10&gt;0,Z10,0)-IF(AA10&gt;0,AA10,0)-IF(AB10&gt;0,AB10,0))/(AC10-AD10-AE10)&gt;0,(Y10-IF(Z10&gt;0,Z10,0)-IF(AA10&gt;0,AA10,0)-IF(AB10&gt;0,AB10,0))/(AC10-AD10-AE10),0)</f>
        <v>0</v>
      </c>
      <c r="AJ10" s="91">
        <f>IF(AI10&lt;=0.1,1.5,0)</f>
        <v>1.5</v>
      </c>
      <c r="AK10" s="92"/>
      <c r="AL10" s="93">
        <f t="shared" ref="AL10:AL40" si="13">AJ10+AK10</f>
        <v>1.5</v>
      </c>
      <c r="AM10" s="94"/>
      <c r="AN10" s="92"/>
      <c r="AO10" s="95" t="e">
        <f t="shared" ref="AO10:AO40" si="14">AM10/AN10</f>
        <v>#DIV/0!</v>
      </c>
      <c r="AP10" s="96" t="e">
        <f>IF(AO10&lt;=1,1,0)</f>
        <v>#DIV/0!</v>
      </c>
      <c r="AQ10" s="79"/>
      <c r="AR10" s="97" t="e">
        <f t="shared" ref="AR10:AR40" si="15">AP10+AQ10</f>
        <v>#DIV/0!</v>
      </c>
      <c r="AS10" s="94"/>
      <c r="AT10" s="92"/>
      <c r="AU10" s="95" t="e">
        <f t="shared" ref="AU10:AU40" si="16">AS10/AT10</f>
        <v>#DIV/0!</v>
      </c>
      <c r="AV10" s="96" t="e">
        <f>IF(AU10&lt;=1,1,0)</f>
        <v>#DIV/0!</v>
      </c>
      <c r="AW10" s="79"/>
      <c r="AX10" s="97" t="e">
        <f t="shared" ref="AX10:AX40" si="17">AV10+AW10</f>
        <v>#DIV/0!</v>
      </c>
      <c r="AY10" s="98"/>
      <c r="AZ10" s="99"/>
      <c r="BA10" s="91">
        <f t="shared" ref="BA10:BA40" si="18">AZ10</f>
        <v>0</v>
      </c>
      <c r="BB10" s="100">
        <f>H10+Q10+X10+AL10+BA10</f>
        <v>4.5</v>
      </c>
      <c r="BC10" s="101">
        <v>17146147.77</v>
      </c>
      <c r="BD10" s="102">
        <v>934451.47</v>
      </c>
      <c r="BF10" s="103">
        <f t="shared" ref="BF10:BF40" si="19">(AD10+AE10-T10)/(AC10-T10)</f>
        <v>0.632997100250276</v>
      </c>
      <c r="BG10" s="9">
        <f>IF(($BF10&lt;=10%),1,0)</f>
        <v>0</v>
      </c>
      <c r="BH10" s="104">
        <f>IF(AND(BF10&gt;10%,BF10&lt;30%),1,0)</f>
        <v>0</v>
      </c>
      <c r="BI10" s="104">
        <f>IF(AND(BF10&gt;30%,BF10&lt;70%),1,0)</f>
        <v>1</v>
      </c>
      <c r="BJ10" s="104">
        <f>IF(AND(BF10&gt;70%,BF10&lt;90%),1,0)</f>
        <v>0</v>
      </c>
      <c r="BK10" s="9">
        <f>IF(($BF10&gt;=90%),1,0)</f>
        <v>0</v>
      </c>
      <c r="BM10" s="103">
        <f t="shared" ref="BM10:BM40" si="20">(BD10+L10)/(J10-T10)</f>
        <v>9.7933615821370015E-2</v>
      </c>
      <c r="BN10" s="9">
        <f>IF(($BM10&lt;=4.9%),1,0)</f>
        <v>0</v>
      </c>
      <c r="BO10" s="104">
        <f>IF(AND(BM10&gt;5%,BM10&lt;19.9%),1,0)</f>
        <v>1</v>
      </c>
      <c r="BP10" s="104">
        <f>IF(AND(BM10&gt;20%,BM10&lt;49.9%),1,0)</f>
        <v>0</v>
      </c>
      <c r="BQ10" s="104">
        <f>IF(AND(BM10&gt;50%,BM10&lt;89.9%),1,0)</f>
        <v>0</v>
      </c>
      <c r="BR10" s="9">
        <f>IF((BM10&gt;=90%),1,0)</f>
        <v>0</v>
      </c>
      <c r="BS10" s="103">
        <f>BC10/J10</f>
        <v>0.82013867111932526</v>
      </c>
    </row>
    <row r="11" spans="1:71" ht="13" x14ac:dyDescent="0.3">
      <c r="A11" s="105" t="s">
        <v>78</v>
      </c>
      <c r="B11" s="76">
        <v>0</v>
      </c>
      <c r="C11" s="76">
        <v>84381.3</v>
      </c>
      <c r="D11" s="76">
        <v>16500</v>
      </c>
      <c r="E11" s="77">
        <f t="shared" si="0"/>
        <v>0</v>
      </c>
      <c r="F11" s="106">
        <f t="shared" ref="F11:F17" si="21">IF(E11&lt;=1.05,1,0)</f>
        <v>1</v>
      </c>
      <c r="G11" s="79"/>
      <c r="H11" s="80">
        <f t="shared" si="1"/>
        <v>1</v>
      </c>
      <c r="I11" s="81">
        <v>33000</v>
      </c>
      <c r="J11" s="81">
        <v>2456345.2000000002</v>
      </c>
      <c r="K11" s="82">
        <v>1661338.1</v>
      </c>
      <c r="L11" s="81">
        <v>374170.1</v>
      </c>
      <c r="M11" s="83">
        <v>0</v>
      </c>
      <c r="N11" s="77">
        <f t="shared" ref="N11:N36" si="22">(I11)/(J11-K11-L11)</f>
        <v>7.841515836297662E-2</v>
      </c>
      <c r="O11" s="78">
        <f t="shared" si="2"/>
        <v>1</v>
      </c>
      <c r="P11" s="79"/>
      <c r="Q11" s="80">
        <f t="shared" si="3"/>
        <v>1</v>
      </c>
      <c r="R11" s="107">
        <v>31.59863</v>
      </c>
      <c r="S11" s="76">
        <v>2524226.4</v>
      </c>
      <c r="T11" s="86">
        <v>991301.44900000002</v>
      </c>
      <c r="U11" s="77">
        <f t="shared" si="4"/>
        <v>2.0613292241989218E-5</v>
      </c>
      <c r="V11" s="78">
        <f t="shared" si="5"/>
        <v>1</v>
      </c>
      <c r="W11" s="79"/>
      <c r="X11" s="80">
        <f t="shared" si="6"/>
        <v>1</v>
      </c>
      <c r="Y11" s="76">
        <f t="shared" si="7"/>
        <v>84381.3</v>
      </c>
      <c r="Z11" s="88"/>
      <c r="AA11" s="88">
        <f t="shared" ref="AA11:AA40" si="23">C11</f>
        <v>84381.3</v>
      </c>
      <c r="AB11" s="89"/>
      <c r="AC11" s="89">
        <f t="shared" si="8"/>
        <v>2456345.2000000002</v>
      </c>
      <c r="AD11" s="89">
        <f t="shared" si="8"/>
        <v>1661338.1</v>
      </c>
      <c r="AE11" s="88">
        <f t="shared" si="8"/>
        <v>374170.1</v>
      </c>
      <c r="AF11" s="89">
        <f t="shared" si="9"/>
        <v>420837.00000000012</v>
      </c>
      <c r="AG11" s="89">
        <f t="shared" si="10"/>
        <v>42083.700000000012</v>
      </c>
      <c r="AH11" s="89">
        <f t="shared" si="11"/>
        <v>126465.00000000001</v>
      </c>
      <c r="AI11" s="90">
        <f t="shared" si="12"/>
        <v>0</v>
      </c>
      <c r="AJ11" s="91">
        <f t="shared" ref="AJ11:AJ17" si="24">IF(AI11&lt;=0.1,1.5,0)</f>
        <v>1.5</v>
      </c>
      <c r="AK11" s="79"/>
      <c r="AL11" s="80">
        <f t="shared" si="13"/>
        <v>1.5</v>
      </c>
      <c r="AM11" s="94"/>
      <c r="AN11" s="92"/>
      <c r="AO11" s="95" t="e">
        <f t="shared" si="14"/>
        <v>#DIV/0!</v>
      </c>
      <c r="AP11" s="96" t="e">
        <f t="shared" ref="AP11:AP17" si="25">IF(AO11&lt;=1,1,0)</f>
        <v>#DIV/0!</v>
      </c>
      <c r="AQ11" s="79"/>
      <c r="AR11" s="97" t="e">
        <f t="shared" si="15"/>
        <v>#DIV/0!</v>
      </c>
      <c r="AS11" s="94"/>
      <c r="AT11" s="92"/>
      <c r="AU11" s="95" t="e">
        <f t="shared" si="16"/>
        <v>#DIV/0!</v>
      </c>
      <c r="AV11" s="96" t="e">
        <f t="shared" ref="AV11:AV17" si="26">IF(AU11&lt;=1,1,0)</f>
        <v>#DIV/0!</v>
      </c>
      <c r="AW11" s="79"/>
      <c r="AX11" s="97" t="e">
        <f t="shared" si="17"/>
        <v>#DIV/0!</v>
      </c>
      <c r="AY11" s="98"/>
      <c r="AZ11" s="99"/>
      <c r="BA11" s="91">
        <f t="shared" si="18"/>
        <v>0</v>
      </c>
      <c r="BB11" s="100">
        <f t="shared" ref="BB11:BB36" si="27">H11+Q11+X11+AL11+BA11</f>
        <v>4.5</v>
      </c>
      <c r="BC11" s="101">
        <v>1692665.49</v>
      </c>
      <c r="BD11" s="102">
        <v>42722.347000000002</v>
      </c>
      <c r="BF11" s="103">
        <f t="shared" si="19"/>
        <v>0.71274782769268985</v>
      </c>
      <c r="BG11" s="9">
        <f t="shared" ref="BG11:BG40" si="28">IF(($BF11&lt;=10%),1,0)</f>
        <v>0</v>
      </c>
      <c r="BH11" s="104">
        <f t="shared" ref="BH11:BH40" si="29">IF(AND(BF11&gt;10%,BF11&lt;30%),1,0)</f>
        <v>0</v>
      </c>
      <c r="BI11" s="104">
        <f t="shared" ref="BI11:BI40" si="30">IF(AND(BF11&gt;30%,BF11&lt;70%),1,0)</f>
        <v>0</v>
      </c>
      <c r="BJ11" s="104">
        <f t="shared" ref="BJ11:BJ40" si="31">IF(AND(BF11&gt;70%,BF11&lt;90%),1,0)</f>
        <v>1</v>
      </c>
      <c r="BK11" s="9">
        <f t="shared" ref="BK11:BK40" si="32">IF(($BF11&gt;=90%),1,0)</f>
        <v>0</v>
      </c>
      <c r="BM11" s="103">
        <f t="shared" si="20"/>
        <v>0.28455972506994431</v>
      </c>
      <c r="BN11" s="9">
        <f t="shared" ref="BN11:BN40" si="33">IF(($BM11&lt;=4.9%),1,0)</f>
        <v>0</v>
      </c>
      <c r="BO11" s="104">
        <f t="shared" ref="BO11:BO40" si="34">IF(AND(BM11&gt;5%,BM11&lt;19.9%),1,0)</f>
        <v>0</v>
      </c>
      <c r="BP11" s="104">
        <f t="shared" ref="BP11:BP40" si="35">IF(AND(BM11&gt;20%,BM11&lt;49.9%),1,0)</f>
        <v>1</v>
      </c>
      <c r="BQ11" s="104">
        <f t="shared" ref="BQ11:BQ40" si="36">IF(AND(BM11&gt;50%,BM11&lt;89.9%),1,0)</f>
        <v>0</v>
      </c>
      <c r="BR11" s="9">
        <f t="shared" ref="BR11:BR40" si="37">IF((BM11&gt;=90%),1,0)</f>
        <v>0</v>
      </c>
      <c r="BS11" s="103">
        <f t="shared" ref="BS11:BS40" si="38">BC11/J11</f>
        <v>0.68909919094433469</v>
      </c>
    </row>
    <row r="12" spans="1:71" ht="13" x14ac:dyDescent="0.3">
      <c r="A12" s="105" t="s">
        <v>79</v>
      </c>
      <c r="B12" s="76">
        <v>0</v>
      </c>
      <c r="C12" s="76">
        <v>7833.8</v>
      </c>
      <c r="D12" s="76">
        <v>13666.7</v>
      </c>
      <c r="E12" s="77">
        <f t="shared" si="0"/>
        <v>0</v>
      </c>
      <c r="F12" s="78">
        <f t="shared" si="21"/>
        <v>1</v>
      </c>
      <c r="G12" s="79"/>
      <c r="H12" s="80">
        <f t="shared" si="1"/>
        <v>1</v>
      </c>
      <c r="I12" s="81">
        <v>27333.333340000001</v>
      </c>
      <c r="J12" s="81">
        <v>2073916.1</v>
      </c>
      <c r="K12" s="82">
        <v>1493459</v>
      </c>
      <c r="L12" s="81">
        <v>288770.5</v>
      </c>
      <c r="M12" s="83">
        <v>0</v>
      </c>
      <c r="N12" s="77">
        <f t="shared" si="22"/>
        <v>9.3707881472786178E-2</v>
      </c>
      <c r="O12" s="78">
        <f t="shared" si="2"/>
        <v>1</v>
      </c>
      <c r="P12" s="79"/>
      <c r="Q12" s="80">
        <f t="shared" si="3"/>
        <v>1</v>
      </c>
      <c r="R12" s="107">
        <v>26.172599999999999</v>
      </c>
      <c r="S12" s="76">
        <v>2068083.3</v>
      </c>
      <c r="T12" s="86">
        <v>854970.34199999995</v>
      </c>
      <c r="U12" s="77">
        <f t="shared" si="4"/>
        <v>2.1574742753675209E-5</v>
      </c>
      <c r="V12" s="78">
        <f t="shared" si="5"/>
        <v>1</v>
      </c>
      <c r="W12" s="79"/>
      <c r="X12" s="80">
        <f t="shared" si="6"/>
        <v>1</v>
      </c>
      <c r="Y12" s="76">
        <f t="shared" si="7"/>
        <v>7833.8</v>
      </c>
      <c r="Z12" s="88"/>
      <c r="AA12" s="88">
        <f t="shared" si="23"/>
        <v>7833.8</v>
      </c>
      <c r="AB12" s="89"/>
      <c r="AC12" s="89">
        <f t="shared" si="8"/>
        <v>2073916.1</v>
      </c>
      <c r="AD12" s="89">
        <f t="shared" si="8"/>
        <v>1493459</v>
      </c>
      <c r="AE12" s="88">
        <f t="shared" si="8"/>
        <v>288770.5</v>
      </c>
      <c r="AF12" s="89">
        <f t="shared" si="9"/>
        <v>291686.60000000009</v>
      </c>
      <c r="AG12" s="89">
        <f t="shared" si="10"/>
        <v>29168.660000000011</v>
      </c>
      <c r="AH12" s="89">
        <f t="shared" si="11"/>
        <v>37002.460000000014</v>
      </c>
      <c r="AI12" s="90">
        <f t="shared" si="12"/>
        <v>0</v>
      </c>
      <c r="AJ12" s="91">
        <f t="shared" si="24"/>
        <v>1.5</v>
      </c>
      <c r="AK12" s="79"/>
      <c r="AL12" s="80">
        <f t="shared" si="13"/>
        <v>1.5</v>
      </c>
      <c r="AM12" s="94"/>
      <c r="AN12" s="92"/>
      <c r="AO12" s="108" t="e">
        <f t="shared" si="14"/>
        <v>#DIV/0!</v>
      </c>
      <c r="AP12" s="96" t="e">
        <f t="shared" si="25"/>
        <v>#DIV/0!</v>
      </c>
      <c r="AQ12" s="79"/>
      <c r="AR12" s="97" t="e">
        <f t="shared" si="15"/>
        <v>#DIV/0!</v>
      </c>
      <c r="AS12" s="94"/>
      <c r="AT12" s="92"/>
      <c r="AU12" s="108" t="e">
        <f t="shared" si="16"/>
        <v>#DIV/0!</v>
      </c>
      <c r="AV12" s="96" t="e">
        <f t="shared" si="26"/>
        <v>#DIV/0!</v>
      </c>
      <c r="AW12" s="79"/>
      <c r="AX12" s="97" t="e">
        <f t="shared" si="17"/>
        <v>#DIV/0!</v>
      </c>
      <c r="AY12" s="98"/>
      <c r="AZ12" s="99"/>
      <c r="BA12" s="91">
        <f t="shared" si="18"/>
        <v>0</v>
      </c>
      <c r="BB12" s="100">
        <f t="shared" si="27"/>
        <v>4.5</v>
      </c>
      <c r="BC12" s="101">
        <v>1242984.6599999999</v>
      </c>
      <c r="BD12" s="102">
        <v>11194.516</v>
      </c>
      <c r="BF12" s="103">
        <f t="shared" si="19"/>
        <v>0.76070584102233685</v>
      </c>
      <c r="BG12" s="9">
        <f t="shared" si="28"/>
        <v>0</v>
      </c>
      <c r="BH12" s="104">
        <f t="shared" si="29"/>
        <v>0</v>
      </c>
      <c r="BI12" s="104">
        <f t="shared" si="30"/>
        <v>0</v>
      </c>
      <c r="BJ12" s="104">
        <f t="shared" si="31"/>
        <v>1</v>
      </c>
      <c r="BK12" s="9">
        <f t="shared" si="32"/>
        <v>0</v>
      </c>
      <c r="BM12" s="103">
        <f t="shared" si="20"/>
        <v>0.24608561458236763</v>
      </c>
      <c r="BN12" s="9">
        <f t="shared" si="33"/>
        <v>0</v>
      </c>
      <c r="BO12" s="104">
        <f t="shared" si="34"/>
        <v>0</v>
      </c>
      <c r="BP12" s="104">
        <f t="shared" si="35"/>
        <v>1</v>
      </c>
      <c r="BQ12" s="104">
        <f t="shared" si="36"/>
        <v>0</v>
      </c>
      <c r="BR12" s="9">
        <f t="shared" si="37"/>
        <v>0</v>
      </c>
      <c r="BS12" s="103">
        <f t="shared" si="38"/>
        <v>0.59934182486938592</v>
      </c>
    </row>
    <row r="13" spans="1:71" s="8" customFormat="1" ht="13" x14ac:dyDescent="0.3">
      <c r="A13" s="109" t="s">
        <v>80</v>
      </c>
      <c r="B13" s="76">
        <v>0</v>
      </c>
      <c r="C13" s="76">
        <v>113634.6</v>
      </c>
      <c r="D13" s="76">
        <v>0</v>
      </c>
      <c r="E13" s="84">
        <f t="shared" si="0"/>
        <v>0</v>
      </c>
      <c r="F13" s="78">
        <f t="shared" si="21"/>
        <v>1</v>
      </c>
      <c r="G13" s="92"/>
      <c r="H13" s="93">
        <f t="shared" si="1"/>
        <v>1</v>
      </c>
      <c r="I13" s="81">
        <v>0</v>
      </c>
      <c r="J13" s="81">
        <v>721553.9</v>
      </c>
      <c r="K13" s="82">
        <v>386322.6</v>
      </c>
      <c r="L13" s="81">
        <v>115527.4</v>
      </c>
      <c r="M13" s="76">
        <v>0</v>
      </c>
      <c r="N13" s="84">
        <f t="shared" si="22"/>
        <v>0</v>
      </c>
      <c r="O13" s="78">
        <f t="shared" si="2"/>
        <v>1</v>
      </c>
      <c r="P13" s="92"/>
      <c r="Q13" s="93">
        <f t="shared" si="3"/>
        <v>1</v>
      </c>
      <c r="R13" s="107">
        <v>0</v>
      </c>
      <c r="S13" s="76">
        <v>835188.5</v>
      </c>
      <c r="T13" s="86">
        <v>258554.166</v>
      </c>
      <c r="U13" s="84">
        <f t="shared" si="4"/>
        <v>0</v>
      </c>
      <c r="V13" s="78">
        <f t="shared" si="5"/>
        <v>1</v>
      </c>
      <c r="W13" s="92"/>
      <c r="X13" s="93">
        <f t="shared" si="6"/>
        <v>1</v>
      </c>
      <c r="Y13" s="76">
        <f t="shared" si="7"/>
        <v>113634.6</v>
      </c>
      <c r="Z13" s="88"/>
      <c r="AA13" s="88">
        <f t="shared" si="23"/>
        <v>113634.6</v>
      </c>
      <c r="AB13" s="88"/>
      <c r="AC13" s="88">
        <f t="shared" si="8"/>
        <v>721553.9</v>
      </c>
      <c r="AD13" s="88">
        <f t="shared" si="8"/>
        <v>386322.6</v>
      </c>
      <c r="AE13" s="88">
        <f t="shared" si="8"/>
        <v>115527.4</v>
      </c>
      <c r="AF13" s="88">
        <f t="shared" si="9"/>
        <v>219703.90000000005</v>
      </c>
      <c r="AG13" s="89">
        <f>AF13*5%</f>
        <v>10985.195000000003</v>
      </c>
      <c r="AH13" s="88">
        <f t="shared" si="11"/>
        <v>124619.79500000001</v>
      </c>
      <c r="AI13" s="110">
        <f t="shared" si="12"/>
        <v>0</v>
      </c>
      <c r="AJ13" s="91">
        <f t="shared" si="24"/>
        <v>1.5</v>
      </c>
      <c r="AK13" s="111"/>
      <c r="AL13" s="93">
        <f t="shared" si="13"/>
        <v>1.5</v>
      </c>
      <c r="AM13" s="94"/>
      <c r="AN13" s="92"/>
      <c r="AO13" s="108" t="e">
        <f t="shared" si="14"/>
        <v>#DIV/0!</v>
      </c>
      <c r="AP13" s="96" t="e">
        <f t="shared" si="25"/>
        <v>#DIV/0!</v>
      </c>
      <c r="AQ13" s="111"/>
      <c r="AR13" s="112" t="e">
        <f t="shared" si="15"/>
        <v>#DIV/0!</v>
      </c>
      <c r="AS13" s="94"/>
      <c r="AT13" s="92"/>
      <c r="AU13" s="108" t="e">
        <f t="shared" si="16"/>
        <v>#DIV/0!</v>
      </c>
      <c r="AV13" s="96" t="e">
        <f t="shared" si="26"/>
        <v>#DIV/0!</v>
      </c>
      <c r="AW13" s="111"/>
      <c r="AX13" s="112" t="e">
        <f t="shared" si="17"/>
        <v>#DIV/0!</v>
      </c>
      <c r="AY13" s="98"/>
      <c r="AZ13" s="99"/>
      <c r="BA13" s="91">
        <f t="shared" si="18"/>
        <v>0</v>
      </c>
      <c r="BB13" s="100">
        <f t="shared" si="27"/>
        <v>4.5</v>
      </c>
      <c r="BC13" s="101">
        <v>506242.72</v>
      </c>
      <c r="BD13" s="102">
        <v>28656.571</v>
      </c>
      <c r="BE13" s="9"/>
      <c r="BF13" s="103">
        <f t="shared" si="19"/>
        <v>0.52547726517700322</v>
      </c>
      <c r="BG13" s="9">
        <f t="shared" si="28"/>
        <v>0</v>
      </c>
      <c r="BH13" s="104">
        <f t="shared" si="29"/>
        <v>0</v>
      </c>
      <c r="BI13" s="104">
        <f t="shared" si="30"/>
        <v>1</v>
      </c>
      <c r="BJ13" s="104">
        <f t="shared" si="31"/>
        <v>0</v>
      </c>
      <c r="BK13" s="9">
        <f t="shared" si="32"/>
        <v>0</v>
      </c>
      <c r="BM13" s="103">
        <f t="shared" si="20"/>
        <v>0.31141264327378637</v>
      </c>
      <c r="BN13" s="9">
        <f t="shared" si="33"/>
        <v>0</v>
      </c>
      <c r="BO13" s="104">
        <f t="shared" si="34"/>
        <v>0</v>
      </c>
      <c r="BP13" s="104">
        <f t="shared" si="35"/>
        <v>1</v>
      </c>
      <c r="BQ13" s="104">
        <f t="shared" si="36"/>
        <v>0</v>
      </c>
      <c r="BR13" s="9">
        <f t="shared" si="37"/>
        <v>0</v>
      </c>
      <c r="BS13" s="103">
        <f t="shared" si="38"/>
        <v>0.70160069815990178</v>
      </c>
    </row>
    <row r="14" spans="1:71" ht="13" x14ac:dyDescent="0.3">
      <c r="A14" s="105" t="s">
        <v>81</v>
      </c>
      <c r="B14" s="113">
        <v>0</v>
      </c>
      <c r="C14" s="113">
        <v>28268.2</v>
      </c>
      <c r="D14" s="113">
        <v>6500</v>
      </c>
      <c r="E14" s="84">
        <f t="shared" si="0"/>
        <v>0</v>
      </c>
      <c r="F14" s="78">
        <f>IF(E14&lt;=1.05,1,0)</f>
        <v>1</v>
      </c>
      <c r="G14" s="79"/>
      <c r="H14" s="80">
        <f t="shared" si="1"/>
        <v>1</v>
      </c>
      <c r="I14" s="81">
        <v>13000</v>
      </c>
      <c r="J14" s="114">
        <v>554372.9</v>
      </c>
      <c r="K14" s="82">
        <v>374061.9</v>
      </c>
      <c r="L14" s="81">
        <v>89851.3</v>
      </c>
      <c r="M14" s="113">
        <v>0</v>
      </c>
      <c r="N14" s="84">
        <f t="shared" si="22"/>
        <v>0.14371040363830523</v>
      </c>
      <c r="O14" s="78">
        <f>IF(N14&lt;=1,1,0)</f>
        <v>1</v>
      </c>
      <c r="P14" s="79"/>
      <c r="Q14" s="80">
        <f t="shared" si="3"/>
        <v>1</v>
      </c>
      <c r="R14" s="115">
        <v>12.447940000000001</v>
      </c>
      <c r="S14" s="113">
        <v>576141.1</v>
      </c>
      <c r="T14" s="86">
        <v>223275.598</v>
      </c>
      <c r="U14" s="77">
        <f t="shared" si="4"/>
        <v>3.5276727051657213E-5</v>
      </c>
      <c r="V14" s="78">
        <f>IF(U14&lt;=0.15,1,0)</f>
        <v>1</v>
      </c>
      <c r="W14" s="79"/>
      <c r="X14" s="80">
        <f t="shared" si="6"/>
        <v>1</v>
      </c>
      <c r="Y14" s="113">
        <f t="shared" si="7"/>
        <v>28268.2</v>
      </c>
      <c r="Z14" s="89"/>
      <c r="AA14" s="89">
        <f t="shared" si="23"/>
        <v>28268.2</v>
      </c>
      <c r="AB14" s="89"/>
      <c r="AC14" s="89">
        <f t="shared" si="8"/>
        <v>554372.9</v>
      </c>
      <c r="AD14" s="89">
        <f t="shared" si="8"/>
        <v>374061.9</v>
      </c>
      <c r="AE14" s="88">
        <f t="shared" si="8"/>
        <v>89851.3</v>
      </c>
      <c r="AF14" s="89">
        <f t="shared" si="9"/>
        <v>90459.7</v>
      </c>
      <c r="AG14" s="89">
        <f>AF14*10%</f>
        <v>9045.9699999999993</v>
      </c>
      <c r="AH14" s="89">
        <f t="shared" si="11"/>
        <v>37314.17</v>
      </c>
      <c r="AI14" s="116">
        <f t="shared" si="12"/>
        <v>0</v>
      </c>
      <c r="AJ14" s="91">
        <f>IF(AI14&lt;=0.1,1.5,0)</f>
        <v>1.5</v>
      </c>
      <c r="AK14" s="79"/>
      <c r="AL14" s="80">
        <f t="shared" si="13"/>
        <v>1.5</v>
      </c>
      <c r="AM14" s="117"/>
      <c r="AN14" s="79"/>
      <c r="AO14" s="95" t="e">
        <f t="shared" si="14"/>
        <v>#DIV/0!</v>
      </c>
      <c r="AP14" s="96" t="e">
        <f>IF(AO14&lt;=1,1,0)</f>
        <v>#DIV/0!</v>
      </c>
      <c r="AQ14" s="79"/>
      <c r="AR14" s="97" t="e">
        <f t="shared" si="15"/>
        <v>#DIV/0!</v>
      </c>
      <c r="AS14" s="117"/>
      <c r="AT14" s="79"/>
      <c r="AU14" s="95" t="e">
        <f t="shared" si="16"/>
        <v>#DIV/0!</v>
      </c>
      <c r="AV14" s="96" t="e">
        <f>IF(AU14&lt;=1,1,0)</f>
        <v>#DIV/0!</v>
      </c>
      <c r="AW14" s="79"/>
      <c r="AX14" s="97" t="e">
        <f t="shared" si="17"/>
        <v>#DIV/0!</v>
      </c>
      <c r="AY14" s="98"/>
      <c r="AZ14" s="99"/>
      <c r="BA14" s="91">
        <f t="shared" si="18"/>
        <v>0</v>
      </c>
      <c r="BB14" s="100">
        <f t="shared" si="27"/>
        <v>4.5</v>
      </c>
      <c r="BC14" s="101">
        <v>963426.17</v>
      </c>
      <c r="BD14" s="102">
        <v>27677.721000000001</v>
      </c>
      <c r="BF14" s="103">
        <f t="shared" si="19"/>
        <v>0.72678816935814228</v>
      </c>
      <c r="BG14" s="9">
        <f>IF(($BF14&lt;=10%),1,0)</f>
        <v>0</v>
      </c>
      <c r="BH14" s="104">
        <f>IF(AND(BF14&gt;10%,BF14&lt;30%),1,0)</f>
        <v>0</v>
      </c>
      <c r="BI14" s="104">
        <f>IF(AND(BF14&gt;30%,BF14&lt;70%),1,0)</f>
        <v>0</v>
      </c>
      <c r="BJ14" s="104">
        <f>IF(AND(BF14&gt;70%,BF14&lt;90%),1,0)</f>
        <v>1</v>
      </c>
      <c r="BK14" s="9">
        <f>IF(($BF14&gt;=90%),1,0)</f>
        <v>0</v>
      </c>
      <c r="BM14" s="103">
        <f t="shared" si="20"/>
        <v>0.35496822320829424</v>
      </c>
      <c r="BN14" s="9">
        <f>IF(($BM14&lt;=4.9%),1,0)</f>
        <v>0</v>
      </c>
      <c r="BO14" s="104">
        <f>IF(AND(BM14&gt;5%,BM14&lt;19.9%),1,0)</f>
        <v>0</v>
      </c>
      <c r="BP14" s="104">
        <f>IF(AND(BM14&gt;20%,BM14&lt;49.9%),1,0)</f>
        <v>1</v>
      </c>
      <c r="BQ14" s="104">
        <f>IF(AND(BM14&gt;50%,BM14&lt;89.9%),1,0)</f>
        <v>0</v>
      </c>
      <c r="BR14" s="9">
        <f>IF((BM14&gt;=90%),1,0)</f>
        <v>0</v>
      </c>
      <c r="BS14" s="118">
        <f t="shared" si="38"/>
        <v>1.7378666417496238</v>
      </c>
    </row>
    <row r="15" spans="1:71" s="8" customFormat="1" ht="13" x14ac:dyDescent="0.3">
      <c r="A15" s="109" t="s">
        <v>82</v>
      </c>
      <c r="B15" s="113">
        <v>0</v>
      </c>
      <c r="C15" s="113">
        <v>2008.9</v>
      </c>
      <c r="D15" s="113">
        <v>0</v>
      </c>
      <c r="E15" s="84">
        <f t="shared" si="0"/>
        <v>0</v>
      </c>
      <c r="F15" s="78">
        <f>IF(E15&lt;=1.05,1,0)</f>
        <v>1</v>
      </c>
      <c r="G15" s="79"/>
      <c r="H15" s="80">
        <f t="shared" si="1"/>
        <v>1</v>
      </c>
      <c r="I15" s="81">
        <v>0</v>
      </c>
      <c r="J15" s="114">
        <v>576031</v>
      </c>
      <c r="K15" s="82">
        <v>375959</v>
      </c>
      <c r="L15" s="81">
        <v>132937.1</v>
      </c>
      <c r="M15" s="113">
        <v>0</v>
      </c>
      <c r="N15" s="84">
        <f>(I15)/(J15-K15-L15)</f>
        <v>0</v>
      </c>
      <c r="O15" s="78">
        <f>IF(N15&lt;=1,1,0)</f>
        <v>1</v>
      </c>
      <c r="P15" s="79"/>
      <c r="Q15" s="80">
        <f t="shared" si="3"/>
        <v>1</v>
      </c>
      <c r="R15" s="115">
        <v>0</v>
      </c>
      <c r="S15" s="113">
        <v>578039.9</v>
      </c>
      <c r="T15" s="86">
        <v>243604.86799999999</v>
      </c>
      <c r="U15" s="77">
        <f t="shared" si="4"/>
        <v>0</v>
      </c>
      <c r="V15" s="78">
        <f>IF(U15&lt;=0.15,1,0)</f>
        <v>1</v>
      </c>
      <c r="W15" s="79"/>
      <c r="X15" s="80">
        <f t="shared" si="6"/>
        <v>1</v>
      </c>
      <c r="Y15" s="113">
        <f t="shared" si="7"/>
        <v>2008.9</v>
      </c>
      <c r="Z15" s="89"/>
      <c r="AA15" s="89">
        <f t="shared" si="23"/>
        <v>2008.9</v>
      </c>
      <c r="AB15" s="89"/>
      <c r="AC15" s="89">
        <f t="shared" si="8"/>
        <v>576031</v>
      </c>
      <c r="AD15" s="89">
        <f t="shared" si="8"/>
        <v>375959</v>
      </c>
      <c r="AE15" s="88">
        <f t="shared" si="8"/>
        <v>132937.1</v>
      </c>
      <c r="AF15" s="89">
        <f t="shared" si="9"/>
        <v>67134.899999999994</v>
      </c>
      <c r="AG15" s="89">
        <f>AF15*10%</f>
        <v>6713.49</v>
      </c>
      <c r="AH15" s="89">
        <f t="shared" si="11"/>
        <v>8722.39</v>
      </c>
      <c r="AI15" s="116">
        <f t="shared" si="12"/>
        <v>0</v>
      </c>
      <c r="AJ15" s="91">
        <f>IF(AI15&lt;=0.1,1.5,0)</f>
        <v>1.5</v>
      </c>
      <c r="AK15" s="79"/>
      <c r="AL15" s="80">
        <f t="shared" si="13"/>
        <v>1.5</v>
      </c>
      <c r="AM15" s="117"/>
      <c r="AN15" s="79"/>
      <c r="AO15" s="95" t="e">
        <f t="shared" si="14"/>
        <v>#DIV/0!</v>
      </c>
      <c r="AP15" s="96" t="e">
        <f>IF(AO15&lt;=1,1,0)</f>
        <v>#DIV/0!</v>
      </c>
      <c r="AQ15" s="79"/>
      <c r="AR15" s="97" t="e">
        <f t="shared" si="15"/>
        <v>#DIV/0!</v>
      </c>
      <c r="AS15" s="117"/>
      <c r="AT15" s="79"/>
      <c r="AU15" s="95" t="e">
        <f t="shared" si="16"/>
        <v>#DIV/0!</v>
      </c>
      <c r="AV15" s="96" t="e">
        <f>IF(AU15&lt;=1,1,0)</f>
        <v>#DIV/0!</v>
      </c>
      <c r="AW15" s="79"/>
      <c r="AX15" s="97" t="e">
        <f t="shared" si="17"/>
        <v>#DIV/0!</v>
      </c>
      <c r="AY15" s="98"/>
      <c r="AZ15" s="99"/>
      <c r="BA15" s="91">
        <f t="shared" si="18"/>
        <v>0</v>
      </c>
      <c r="BB15" s="100">
        <f>H15+Q15+X15+AL15+BA15</f>
        <v>4.5</v>
      </c>
      <c r="BC15" s="101">
        <v>549905.17000000004</v>
      </c>
      <c r="BD15" s="102">
        <v>41296.51</v>
      </c>
      <c r="BE15" s="9"/>
      <c r="BF15" s="103">
        <f t="shared" si="19"/>
        <v>0.79804566026114931</v>
      </c>
      <c r="BG15" s="9">
        <f t="shared" si="28"/>
        <v>0</v>
      </c>
      <c r="BH15" s="104">
        <f t="shared" si="29"/>
        <v>0</v>
      </c>
      <c r="BI15" s="104">
        <f t="shared" si="30"/>
        <v>0</v>
      </c>
      <c r="BJ15" s="104">
        <f t="shared" si="31"/>
        <v>1</v>
      </c>
      <c r="BK15" s="9">
        <f t="shared" si="32"/>
        <v>0</v>
      </c>
      <c r="BM15" s="103">
        <f t="shared" si="20"/>
        <v>0.52412729694788263</v>
      </c>
      <c r="BN15" s="9">
        <f t="shared" si="33"/>
        <v>0</v>
      </c>
      <c r="BO15" s="104">
        <f t="shared" si="34"/>
        <v>0</v>
      </c>
      <c r="BP15" s="104">
        <f t="shared" si="35"/>
        <v>0</v>
      </c>
      <c r="BQ15" s="104">
        <f t="shared" si="36"/>
        <v>1</v>
      </c>
      <c r="BR15" s="9">
        <f t="shared" si="37"/>
        <v>0</v>
      </c>
      <c r="BS15" s="103">
        <f t="shared" si="38"/>
        <v>0.95464509722567026</v>
      </c>
    </row>
    <row r="16" spans="1:71" s="8" customFormat="1" ht="13" x14ac:dyDescent="0.3">
      <c r="A16" s="109" t="s">
        <v>83</v>
      </c>
      <c r="B16" s="76">
        <v>0</v>
      </c>
      <c r="C16" s="76">
        <v>273636.2</v>
      </c>
      <c r="D16" s="76">
        <v>18333.3</v>
      </c>
      <c r="E16" s="84">
        <f t="shared" si="0"/>
        <v>0</v>
      </c>
      <c r="F16" s="78">
        <f t="shared" si="21"/>
        <v>1</v>
      </c>
      <c r="G16" s="92"/>
      <c r="H16" s="93">
        <f t="shared" si="1"/>
        <v>1</v>
      </c>
      <c r="I16" s="81">
        <v>36666.666669999999</v>
      </c>
      <c r="J16" s="81">
        <v>2942311.5</v>
      </c>
      <c r="K16" s="82">
        <v>2080696.7</v>
      </c>
      <c r="L16" s="81">
        <v>352144.4</v>
      </c>
      <c r="M16" s="76">
        <v>0</v>
      </c>
      <c r="N16" s="84">
        <f t="shared" si="22"/>
        <v>7.1970160916119949E-2</v>
      </c>
      <c r="O16" s="78">
        <f t="shared" si="2"/>
        <v>1</v>
      </c>
      <c r="P16" s="92"/>
      <c r="Q16" s="93">
        <f t="shared" si="3"/>
        <v>1</v>
      </c>
      <c r="R16" s="107">
        <v>35.109589999999997</v>
      </c>
      <c r="S16" s="76">
        <v>3197614.4</v>
      </c>
      <c r="T16" s="86">
        <v>1403701.4180000001</v>
      </c>
      <c r="U16" s="84">
        <f t="shared" si="4"/>
        <v>1.9571512304268502E-5</v>
      </c>
      <c r="V16" s="78">
        <f t="shared" si="5"/>
        <v>1</v>
      </c>
      <c r="W16" s="92"/>
      <c r="X16" s="93">
        <f t="shared" si="6"/>
        <v>1</v>
      </c>
      <c r="Y16" s="76">
        <f t="shared" si="7"/>
        <v>273636.2</v>
      </c>
      <c r="Z16" s="88"/>
      <c r="AA16" s="88">
        <f t="shared" si="23"/>
        <v>273636.2</v>
      </c>
      <c r="AB16" s="88"/>
      <c r="AC16" s="88">
        <f t="shared" si="8"/>
        <v>2942311.5</v>
      </c>
      <c r="AD16" s="88">
        <f t="shared" si="8"/>
        <v>2080696.7</v>
      </c>
      <c r="AE16" s="88">
        <f t="shared" si="8"/>
        <v>352144.4</v>
      </c>
      <c r="AF16" s="88">
        <f t="shared" si="9"/>
        <v>509470.4</v>
      </c>
      <c r="AG16" s="89">
        <f t="shared" si="10"/>
        <v>50947.040000000008</v>
      </c>
      <c r="AH16" s="88">
        <f t="shared" si="11"/>
        <v>324583.24</v>
      </c>
      <c r="AI16" s="110">
        <f t="shared" si="12"/>
        <v>0</v>
      </c>
      <c r="AJ16" s="91">
        <f t="shared" si="24"/>
        <v>1.5</v>
      </c>
      <c r="AK16" s="92"/>
      <c r="AL16" s="93">
        <f t="shared" si="13"/>
        <v>1.5</v>
      </c>
      <c r="AM16" s="94"/>
      <c r="AN16" s="92"/>
      <c r="AO16" s="108" t="e">
        <f t="shared" si="14"/>
        <v>#DIV/0!</v>
      </c>
      <c r="AP16" s="96" t="e">
        <f t="shared" si="25"/>
        <v>#DIV/0!</v>
      </c>
      <c r="AQ16" s="92"/>
      <c r="AR16" s="112" t="e">
        <f t="shared" si="15"/>
        <v>#DIV/0!</v>
      </c>
      <c r="AS16" s="94"/>
      <c r="AT16" s="92"/>
      <c r="AU16" s="108" t="e">
        <f t="shared" si="16"/>
        <v>#DIV/0!</v>
      </c>
      <c r="AV16" s="96" t="e">
        <f t="shared" si="26"/>
        <v>#DIV/0!</v>
      </c>
      <c r="AW16" s="92"/>
      <c r="AX16" s="112" t="e">
        <f t="shared" si="17"/>
        <v>#DIV/0!</v>
      </c>
      <c r="AY16" s="98"/>
      <c r="AZ16" s="99"/>
      <c r="BA16" s="91">
        <f t="shared" si="18"/>
        <v>0</v>
      </c>
      <c r="BB16" s="100">
        <f t="shared" si="27"/>
        <v>4.5</v>
      </c>
      <c r="BC16" s="101">
        <v>3574750.79</v>
      </c>
      <c r="BD16" s="102">
        <v>28012.954000000002</v>
      </c>
      <c r="BE16" s="9"/>
      <c r="BF16" s="103">
        <f t="shared" si="19"/>
        <v>0.66887621109452733</v>
      </c>
      <c r="BG16" s="9">
        <f t="shared" si="28"/>
        <v>0</v>
      </c>
      <c r="BH16" s="104">
        <f t="shared" si="29"/>
        <v>0</v>
      </c>
      <c r="BI16" s="104">
        <f t="shared" si="30"/>
        <v>1</v>
      </c>
      <c r="BJ16" s="104">
        <f t="shared" si="31"/>
        <v>0</v>
      </c>
      <c r="BK16" s="9">
        <f t="shared" si="32"/>
        <v>0</v>
      </c>
      <c r="BM16" s="103">
        <f t="shared" si="20"/>
        <v>0.24707842386281728</v>
      </c>
      <c r="BN16" s="9">
        <f t="shared" si="33"/>
        <v>0</v>
      </c>
      <c r="BO16" s="104">
        <f t="shared" si="34"/>
        <v>0</v>
      </c>
      <c r="BP16" s="104">
        <f t="shared" si="35"/>
        <v>1</v>
      </c>
      <c r="BQ16" s="104">
        <f t="shared" si="36"/>
        <v>0</v>
      </c>
      <c r="BR16" s="9">
        <f t="shared" si="37"/>
        <v>0</v>
      </c>
      <c r="BS16" s="118">
        <f t="shared" si="38"/>
        <v>1.214946408631445</v>
      </c>
    </row>
    <row r="17" spans="1:71" s="8" customFormat="1" ht="13" x14ac:dyDescent="0.3">
      <c r="A17" s="109" t="s">
        <v>84</v>
      </c>
      <c r="B17" s="76">
        <v>0</v>
      </c>
      <c r="C17" s="76">
        <v>12775.5</v>
      </c>
      <c r="D17" s="76">
        <v>0</v>
      </c>
      <c r="E17" s="84">
        <f t="shared" si="0"/>
        <v>0</v>
      </c>
      <c r="F17" s="78">
        <f t="shared" si="21"/>
        <v>1</v>
      </c>
      <c r="G17" s="92"/>
      <c r="H17" s="93">
        <f t="shared" si="1"/>
        <v>1</v>
      </c>
      <c r="I17" s="81">
        <v>0</v>
      </c>
      <c r="J17" s="81">
        <v>930086.6</v>
      </c>
      <c r="K17" s="82">
        <v>654809.59999999998</v>
      </c>
      <c r="L17" s="81">
        <v>80601.5</v>
      </c>
      <c r="M17" s="76">
        <v>0</v>
      </c>
      <c r="N17" s="84">
        <f t="shared" si="22"/>
        <v>0</v>
      </c>
      <c r="O17" s="78">
        <f>IF(N17&lt;=1,1,0)</f>
        <v>1</v>
      </c>
      <c r="P17" s="92"/>
      <c r="Q17" s="93">
        <f t="shared" si="3"/>
        <v>1</v>
      </c>
      <c r="R17" s="107">
        <v>0</v>
      </c>
      <c r="S17" s="76">
        <v>942862.1</v>
      </c>
      <c r="T17" s="86">
        <v>290437.59499999997</v>
      </c>
      <c r="U17" s="84">
        <f t="shared" si="4"/>
        <v>0</v>
      </c>
      <c r="V17" s="78">
        <f>IF(U17&lt;=0.15,1,0)</f>
        <v>1</v>
      </c>
      <c r="W17" s="92"/>
      <c r="X17" s="93">
        <f t="shared" si="6"/>
        <v>1</v>
      </c>
      <c r="Y17" s="76">
        <f t="shared" si="7"/>
        <v>12775.5</v>
      </c>
      <c r="Z17" s="88"/>
      <c r="AA17" s="88">
        <f t="shared" si="23"/>
        <v>12775.5</v>
      </c>
      <c r="AB17" s="88"/>
      <c r="AC17" s="88">
        <f t="shared" si="8"/>
        <v>930086.6</v>
      </c>
      <c r="AD17" s="88">
        <f t="shared" si="8"/>
        <v>654809.59999999998</v>
      </c>
      <c r="AE17" s="88">
        <f t="shared" si="8"/>
        <v>80601.5</v>
      </c>
      <c r="AF17" s="88">
        <f t="shared" si="9"/>
        <v>194675.5</v>
      </c>
      <c r="AG17" s="89">
        <f t="shared" si="10"/>
        <v>19467.55</v>
      </c>
      <c r="AH17" s="88">
        <f>IF(AA17&gt;0,AA17,0)+AG17+IF(AB17&gt;0,AB17,0)</f>
        <v>32243.05</v>
      </c>
      <c r="AI17" s="110">
        <f t="shared" si="12"/>
        <v>0</v>
      </c>
      <c r="AJ17" s="91">
        <f t="shared" si="24"/>
        <v>1.5</v>
      </c>
      <c r="AK17" s="92"/>
      <c r="AL17" s="93">
        <f t="shared" si="13"/>
        <v>1.5</v>
      </c>
      <c r="AM17" s="94"/>
      <c r="AN17" s="92"/>
      <c r="AO17" s="108" t="e">
        <f t="shared" si="14"/>
        <v>#DIV/0!</v>
      </c>
      <c r="AP17" s="96" t="e">
        <f t="shared" si="25"/>
        <v>#DIV/0!</v>
      </c>
      <c r="AQ17" s="92"/>
      <c r="AR17" s="112" t="e">
        <f t="shared" si="15"/>
        <v>#DIV/0!</v>
      </c>
      <c r="AS17" s="94"/>
      <c r="AT17" s="92"/>
      <c r="AU17" s="108" t="e">
        <f t="shared" si="16"/>
        <v>#DIV/0!</v>
      </c>
      <c r="AV17" s="96" t="e">
        <f t="shared" si="26"/>
        <v>#DIV/0!</v>
      </c>
      <c r="AW17" s="92"/>
      <c r="AX17" s="112" t="e">
        <f t="shared" si="17"/>
        <v>#DIV/0!</v>
      </c>
      <c r="AY17" s="98"/>
      <c r="AZ17" s="99"/>
      <c r="BA17" s="91">
        <f t="shared" si="18"/>
        <v>0</v>
      </c>
      <c r="BB17" s="100">
        <f t="shared" si="27"/>
        <v>4.5</v>
      </c>
      <c r="BC17" s="101">
        <v>590694.81000000006</v>
      </c>
      <c r="BD17" s="102">
        <v>16814.179</v>
      </c>
      <c r="BE17" s="9"/>
      <c r="BF17" s="103">
        <f t="shared" si="19"/>
        <v>0.69565261811045886</v>
      </c>
      <c r="BG17" s="9">
        <f t="shared" si="28"/>
        <v>0</v>
      </c>
      <c r="BH17" s="104">
        <f t="shared" si="29"/>
        <v>0</v>
      </c>
      <c r="BI17" s="104">
        <f t="shared" si="30"/>
        <v>1</v>
      </c>
      <c r="BJ17" s="104">
        <f t="shared" si="31"/>
        <v>0</v>
      </c>
      <c r="BK17" s="9">
        <f t="shared" si="32"/>
        <v>0</v>
      </c>
      <c r="BM17" s="103">
        <f t="shared" si="20"/>
        <v>0.15229552182294101</v>
      </c>
      <c r="BN17" s="9">
        <f t="shared" si="33"/>
        <v>0</v>
      </c>
      <c r="BO17" s="104">
        <f t="shared" si="34"/>
        <v>1</v>
      </c>
      <c r="BP17" s="104">
        <f t="shared" si="35"/>
        <v>0</v>
      </c>
      <c r="BQ17" s="104">
        <f t="shared" si="36"/>
        <v>0</v>
      </c>
      <c r="BR17" s="9">
        <f t="shared" si="37"/>
        <v>0</v>
      </c>
      <c r="BS17" s="103">
        <f t="shared" si="38"/>
        <v>0.63509657057740654</v>
      </c>
    </row>
    <row r="18" spans="1:71" s="8" customFormat="1" ht="13" x14ac:dyDescent="0.3">
      <c r="A18" s="119" t="s">
        <v>85</v>
      </c>
      <c r="B18" s="120">
        <v>0</v>
      </c>
      <c r="C18" s="120">
        <v>8506.9</v>
      </c>
      <c r="D18" s="120">
        <v>0</v>
      </c>
      <c r="E18" s="121">
        <f t="shared" si="0"/>
        <v>0</v>
      </c>
      <c r="F18" s="122"/>
      <c r="G18" s="123">
        <f>IF(E18&lt;=1.05,1,0)</f>
        <v>1</v>
      </c>
      <c r="H18" s="124">
        <f t="shared" si="1"/>
        <v>1</v>
      </c>
      <c r="I18" s="125">
        <v>0</v>
      </c>
      <c r="J18" s="125">
        <v>343836.3</v>
      </c>
      <c r="K18" s="126">
        <v>270697.8</v>
      </c>
      <c r="L18" s="125">
        <v>49326.7</v>
      </c>
      <c r="M18" s="120">
        <v>0</v>
      </c>
      <c r="N18" s="121">
        <f t="shared" si="22"/>
        <v>0</v>
      </c>
      <c r="O18" s="122"/>
      <c r="P18" s="123">
        <f>IF(N18&lt;=0.5,1,0)</f>
        <v>1</v>
      </c>
      <c r="Q18" s="124">
        <f t="shared" si="3"/>
        <v>1</v>
      </c>
      <c r="R18" s="127">
        <v>0</v>
      </c>
      <c r="S18" s="120">
        <v>352343.3</v>
      </c>
      <c r="T18" s="128">
        <v>174331.90400000001</v>
      </c>
      <c r="U18" s="121">
        <f t="shared" si="4"/>
        <v>0</v>
      </c>
      <c r="V18" s="122"/>
      <c r="W18" s="123">
        <f>IF(U18&lt;=0.15,1,0)</f>
        <v>1</v>
      </c>
      <c r="X18" s="124">
        <f t="shared" si="6"/>
        <v>1</v>
      </c>
      <c r="Y18" s="120">
        <f t="shared" si="7"/>
        <v>8506.9</v>
      </c>
      <c r="Z18" s="129"/>
      <c r="AA18" s="129">
        <f t="shared" si="23"/>
        <v>8506.9</v>
      </c>
      <c r="AB18" s="129"/>
      <c r="AC18" s="129">
        <f t="shared" si="8"/>
        <v>343836.3</v>
      </c>
      <c r="AD18" s="129">
        <f t="shared" si="8"/>
        <v>270697.8</v>
      </c>
      <c r="AE18" s="129">
        <f t="shared" si="8"/>
        <v>49326.7</v>
      </c>
      <c r="AF18" s="129">
        <f t="shared" si="9"/>
        <v>23811.800000000003</v>
      </c>
      <c r="AG18" s="129">
        <f t="shared" si="10"/>
        <v>2381.1800000000003</v>
      </c>
      <c r="AH18" s="129">
        <f t="shared" ref="AH18:AH40" si="39">IF(AA18&gt;0,AA18,0)+AG18+IF(AB18&gt;0,AB18,0)</f>
        <v>10888.08</v>
      </c>
      <c r="AI18" s="130">
        <f t="shared" si="12"/>
        <v>0</v>
      </c>
      <c r="AJ18" s="131"/>
      <c r="AK18" s="132">
        <f>IF(AI18&lt;=0.05,1.5,0)</f>
        <v>1.5</v>
      </c>
      <c r="AL18" s="124">
        <f t="shared" si="13"/>
        <v>1.5</v>
      </c>
      <c r="AM18" s="133"/>
      <c r="AN18" s="123"/>
      <c r="AO18" s="134" t="e">
        <f t="shared" si="14"/>
        <v>#DIV/0!</v>
      </c>
      <c r="AP18" s="131"/>
      <c r="AQ18" s="132" t="e">
        <f>IF(AO18&lt;=1,1,0)</f>
        <v>#DIV/0!</v>
      </c>
      <c r="AR18" s="135" t="e">
        <f t="shared" si="15"/>
        <v>#DIV/0!</v>
      </c>
      <c r="AS18" s="133"/>
      <c r="AT18" s="123"/>
      <c r="AU18" s="134" t="e">
        <f t="shared" si="16"/>
        <v>#DIV/0!</v>
      </c>
      <c r="AV18" s="131"/>
      <c r="AW18" s="132" t="e">
        <f>IF(AU18&lt;=1,1,0)</f>
        <v>#DIV/0!</v>
      </c>
      <c r="AX18" s="135" t="e">
        <f t="shared" si="17"/>
        <v>#DIV/0!</v>
      </c>
      <c r="AY18" s="98"/>
      <c r="AZ18" s="99"/>
      <c r="BA18" s="91">
        <f t="shared" si="18"/>
        <v>0</v>
      </c>
      <c r="BB18" s="100">
        <f t="shared" si="27"/>
        <v>4.5</v>
      </c>
      <c r="BC18" s="101">
        <v>245880.27</v>
      </c>
      <c r="BD18" s="136">
        <v>35456.451999999997</v>
      </c>
      <c r="BF18" s="137">
        <f t="shared" si="19"/>
        <v>0.85952104746593128</v>
      </c>
      <c r="BG18" s="8">
        <f t="shared" si="28"/>
        <v>0</v>
      </c>
      <c r="BH18" s="138">
        <f t="shared" si="29"/>
        <v>0</v>
      </c>
      <c r="BI18" s="138">
        <f t="shared" si="30"/>
        <v>0</v>
      </c>
      <c r="BJ18" s="138">
        <f t="shared" si="31"/>
        <v>1</v>
      </c>
      <c r="BK18" s="8">
        <f t="shared" si="32"/>
        <v>0</v>
      </c>
      <c r="BM18" s="137">
        <f t="shared" si="20"/>
        <v>0.50018261473289471</v>
      </c>
      <c r="BN18" s="8">
        <f t="shared" si="33"/>
        <v>0</v>
      </c>
      <c r="BO18" s="138">
        <f t="shared" si="34"/>
        <v>0</v>
      </c>
      <c r="BP18" s="138">
        <f t="shared" si="35"/>
        <v>0</v>
      </c>
      <c r="BQ18" s="138">
        <f t="shared" si="36"/>
        <v>1</v>
      </c>
      <c r="BR18" s="8">
        <f t="shared" si="37"/>
        <v>0</v>
      </c>
      <c r="BS18" s="103">
        <f t="shared" si="38"/>
        <v>0.71510852693563765</v>
      </c>
    </row>
    <row r="19" spans="1:71" s="8" customFormat="1" ht="13" x14ac:dyDescent="0.3">
      <c r="A19" s="109" t="s">
        <v>86</v>
      </c>
      <c r="B19" s="76">
        <v>0</v>
      </c>
      <c r="C19" s="76">
        <v>7164.5</v>
      </c>
      <c r="D19" s="76">
        <v>0</v>
      </c>
      <c r="E19" s="84">
        <f t="shared" si="0"/>
        <v>0</v>
      </c>
      <c r="F19" s="78">
        <f>IF(E19&lt;=1.05,1,0)</f>
        <v>1</v>
      </c>
      <c r="G19" s="92"/>
      <c r="H19" s="93">
        <f t="shared" si="1"/>
        <v>1</v>
      </c>
      <c r="I19" s="81">
        <v>0</v>
      </c>
      <c r="J19" s="81">
        <v>676680</v>
      </c>
      <c r="K19" s="82">
        <v>475344</v>
      </c>
      <c r="L19" s="81">
        <v>128165.1</v>
      </c>
      <c r="M19" s="76">
        <v>0</v>
      </c>
      <c r="N19" s="84">
        <f>(I19)/(J19-K19-L19)</f>
        <v>0</v>
      </c>
      <c r="O19" s="78">
        <f>IF(N19&lt;=1,1,0)</f>
        <v>1</v>
      </c>
      <c r="P19" s="92"/>
      <c r="Q19" s="93">
        <f t="shared" si="3"/>
        <v>1</v>
      </c>
      <c r="R19" s="107">
        <v>0</v>
      </c>
      <c r="S19" s="76">
        <v>683844.5</v>
      </c>
      <c r="T19" s="86">
        <v>285393.16800000001</v>
      </c>
      <c r="U19" s="84">
        <f t="shared" si="4"/>
        <v>0</v>
      </c>
      <c r="V19" s="78">
        <f>IF(U19&lt;=0.15,1,0)</f>
        <v>1</v>
      </c>
      <c r="W19" s="92"/>
      <c r="X19" s="93">
        <f t="shared" si="6"/>
        <v>1</v>
      </c>
      <c r="Y19" s="76">
        <f t="shared" si="7"/>
        <v>7164.5</v>
      </c>
      <c r="Z19" s="88"/>
      <c r="AA19" s="88">
        <f t="shared" si="23"/>
        <v>7164.5</v>
      </c>
      <c r="AB19" s="88"/>
      <c r="AC19" s="88">
        <f t="shared" si="8"/>
        <v>676680</v>
      </c>
      <c r="AD19" s="88">
        <f t="shared" si="8"/>
        <v>475344</v>
      </c>
      <c r="AE19" s="88">
        <f t="shared" si="8"/>
        <v>128165.1</v>
      </c>
      <c r="AF19" s="88">
        <f t="shared" si="9"/>
        <v>73170.899999999994</v>
      </c>
      <c r="AG19" s="89">
        <f t="shared" si="10"/>
        <v>7317.09</v>
      </c>
      <c r="AH19" s="88">
        <f t="shared" si="39"/>
        <v>14481.59</v>
      </c>
      <c r="AI19" s="110">
        <f t="shared" si="12"/>
        <v>0</v>
      </c>
      <c r="AJ19" s="91">
        <f>IF(AI19&lt;=0.1,1.5,0)</f>
        <v>1.5</v>
      </c>
      <c r="AK19" s="92"/>
      <c r="AL19" s="93">
        <f t="shared" si="13"/>
        <v>1.5</v>
      </c>
      <c r="AM19" s="94"/>
      <c r="AN19" s="92"/>
      <c r="AO19" s="108" t="e">
        <f t="shared" si="14"/>
        <v>#DIV/0!</v>
      </c>
      <c r="AP19" s="96" t="e">
        <f>IF(AO19&lt;=1,1,0)</f>
        <v>#DIV/0!</v>
      </c>
      <c r="AQ19" s="92"/>
      <c r="AR19" s="112" t="e">
        <f t="shared" si="15"/>
        <v>#DIV/0!</v>
      </c>
      <c r="AS19" s="94"/>
      <c r="AT19" s="92"/>
      <c r="AU19" s="108" t="e">
        <f t="shared" si="16"/>
        <v>#DIV/0!</v>
      </c>
      <c r="AV19" s="96" t="e">
        <f>IF(AU19&lt;=1,1,0)</f>
        <v>#DIV/0!</v>
      </c>
      <c r="AW19" s="92"/>
      <c r="AX19" s="112" t="e">
        <f t="shared" si="17"/>
        <v>#DIV/0!</v>
      </c>
      <c r="AY19" s="98"/>
      <c r="AZ19" s="99"/>
      <c r="BA19" s="91">
        <f t="shared" si="18"/>
        <v>0</v>
      </c>
      <c r="BB19" s="100">
        <f t="shared" si="27"/>
        <v>4.5</v>
      </c>
      <c r="BC19" s="101">
        <v>405776.39</v>
      </c>
      <c r="BD19" s="102">
        <v>26765.723999999998</v>
      </c>
      <c r="BE19" s="9"/>
      <c r="BF19" s="103">
        <f t="shared" si="19"/>
        <v>0.81299932935131325</v>
      </c>
      <c r="BG19" s="9">
        <f t="shared" si="28"/>
        <v>0</v>
      </c>
      <c r="BH19" s="104">
        <f t="shared" si="29"/>
        <v>0</v>
      </c>
      <c r="BI19" s="104">
        <f t="shared" si="30"/>
        <v>0</v>
      </c>
      <c r="BJ19" s="104">
        <f t="shared" si="31"/>
        <v>1</v>
      </c>
      <c r="BK19" s="9">
        <f t="shared" si="32"/>
        <v>0</v>
      </c>
      <c r="BM19" s="103">
        <f t="shared" si="20"/>
        <v>0.39595205186971383</v>
      </c>
      <c r="BN19" s="9">
        <f t="shared" si="33"/>
        <v>0</v>
      </c>
      <c r="BO19" s="104">
        <f t="shared" si="34"/>
        <v>0</v>
      </c>
      <c r="BP19" s="104">
        <f t="shared" si="35"/>
        <v>1</v>
      </c>
      <c r="BQ19" s="104">
        <f t="shared" si="36"/>
        <v>0</v>
      </c>
      <c r="BR19" s="9">
        <f t="shared" si="37"/>
        <v>0</v>
      </c>
      <c r="BS19" s="103">
        <f t="shared" si="38"/>
        <v>0.59965772595613887</v>
      </c>
    </row>
    <row r="20" spans="1:71" ht="13" x14ac:dyDescent="0.3">
      <c r="A20" s="119" t="s">
        <v>87</v>
      </c>
      <c r="B20" s="120">
        <v>0</v>
      </c>
      <c r="C20" s="120">
        <v>17770.599999999999</v>
      </c>
      <c r="D20" s="120">
        <v>8000</v>
      </c>
      <c r="E20" s="121">
        <f t="shared" si="0"/>
        <v>0</v>
      </c>
      <c r="F20" s="122"/>
      <c r="G20" s="123">
        <f>IF(E20&lt;=1.05,1,0)</f>
        <v>1</v>
      </c>
      <c r="H20" s="124">
        <f t="shared" si="1"/>
        <v>1</v>
      </c>
      <c r="I20" s="125">
        <v>16000</v>
      </c>
      <c r="J20" s="125">
        <v>1736858.5</v>
      </c>
      <c r="K20" s="126">
        <v>1183550.7</v>
      </c>
      <c r="L20" s="125">
        <v>414734.9</v>
      </c>
      <c r="M20" s="120">
        <v>0</v>
      </c>
      <c r="N20" s="121">
        <f t="shared" si="22"/>
        <v>0.11546269147863686</v>
      </c>
      <c r="O20" s="122"/>
      <c r="P20" s="123">
        <f>IF(N20&lt;=0.5,1,0)</f>
        <v>1</v>
      </c>
      <c r="Q20" s="124">
        <f t="shared" si="3"/>
        <v>1</v>
      </c>
      <c r="R20" s="127">
        <v>15.320540000000001</v>
      </c>
      <c r="S20" s="120">
        <v>1746629.1</v>
      </c>
      <c r="T20" s="128">
        <v>888595.63199999998</v>
      </c>
      <c r="U20" s="121">
        <f t="shared" si="4"/>
        <v>1.7855410740225344E-5</v>
      </c>
      <c r="V20" s="122"/>
      <c r="W20" s="123">
        <f>IF(U20&lt;=0.15,1,0)</f>
        <v>1</v>
      </c>
      <c r="X20" s="124">
        <f t="shared" si="6"/>
        <v>1</v>
      </c>
      <c r="Y20" s="120">
        <f t="shared" si="7"/>
        <v>17770.599999999999</v>
      </c>
      <c r="Z20" s="129"/>
      <c r="AA20" s="129">
        <f t="shared" si="23"/>
        <v>17770.599999999999</v>
      </c>
      <c r="AB20" s="129"/>
      <c r="AC20" s="129">
        <f t="shared" si="8"/>
        <v>1736858.5</v>
      </c>
      <c r="AD20" s="129">
        <f t="shared" si="8"/>
        <v>1183550.7</v>
      </c>
      <c r="AE20" s="129">
        <f t="shared" si="8"/>
        <v>414734.9</v>
      </c>
      <c r="AF20" s="129">
        <f t="shared" si="9"/>
        <v>138572.90000000002</v>
      </c>
      <c r="AG20" s="129">
        <f t="shared" si="10"/>
        <v>13857.290000000003</v>
      </c>
      <c r="AH20" s="129">
        <f t="shared" si="39"/>
        <v>31627.89</v>
      </c>
      <c r="AI20" s="130">
        <f t="shared" si="12"/>
        <v>0</v>
      </c>
      <c r="AJ20" s="131"/>
      <c r="AK20" s="132">
        <f>IF(AI20&lt;=0.05,1.5,0)</f>
        <v>1.5</v>
      </c>
      <c r="AL20" s="124">
        <f t="shared" si="13"/>
        <v>1.5</v>
      </c>
      <c r="AM20" s="133"/>
      <c r="AN20" s="123"/>
      <c r="AO20" s="134" t="e">
        <f t="shared" si="14"/>
        <v>#DIV/0!</v>
      </c>
      <c r="AP20" s="131"/>
      <c r="AQ20" s="132" t="e">
        <f>IF(AO20&lt;=1,1,0)</f>
        <v>#DIV/0!</v>
      </c>
      <c r="AR20" s="135" t="e">
        <f t="shared" si="15"/>
        <v>#DIV/0!</v>
      </c>
      <c r="AS20" s="133"/>
      <c r="AT20" s="123"/>
      <c r="AU20" s="134" t="e">
        <f t="shared" si="16"/>
        <v>#DIV/0!</v>
      </c>
      <c r="AV20" s="131"/>
      <c r="AW20" s="132" t="e">
        <f>IF(AU20&lt;=1,1,0)</f>
        <v>#DIV/0!</v>
      </c>
      <c r="AX20" s="135" t="e">
        <f t="shared" si="17"/>
        <v>#DIV/0!</v>
      </c>
      <c r="AY20" s="98"/>
      <c r="AZ20" s="99"/>
      <c r="BA20" s="91">
        <f t="shared" si="18"/>
        <v>0</v>
      </c>
      <c r="BB20" s="100">
        <f t="shared" si="27"/>
        <v>4.5</v>
      </c>
      <c r="BC20" s="101">
        <v>1352762.16</v>
      </c>
      <c r="BD20" s="102">
        <v>83056.724000000002</v>
      </c>
      <c r="BF20" s="103">
        <f t="shared" si="19"/>
        <v>0.83663920085677979</v>
      </c>
      <c r="BG20" s="9">
        <f>IF(($BF20&lt;=10%),1,0)</f>
        <v>0</v>
      </c>
      <c r="BH20" s="104">
        <f>IF(AND(BF20&gt;10%,BF20&lt;30%),1,0)</f>
        <v>0</v>
      </c>
      <c r="BI20" s="104">
        <f>IF(AND(BF20&gt;30%,BF20&lt;70%),1,0)</f>
        <v>0</v>
      </c>
      <c r="BJ20" s="104">
        <f>IF(AND(BF20&gt;70%,BF20&lt;90%),1,0)</f>
        <v>1</v>
      </c>
      <c r="BK20" s="9">
        <f>IF(($BF20&gt;=90%),1,0)</f>
        <v>0</v>
      </c>
      <c r="BM20" s="103">
        <f t="shared" si="20"/>
        <v>0.58683651351340305</v>
      </c>
      <c r="BN20" s="9">
        <f>IF(($BM20&lt;=4.9%),1,0)</f>
        <v>0</v>
      </c>
      <c r="BO20" s="104">
        <f>IF(AND(BM20&gt;5%,BM20&lt;19.9%),1,0)</f>
        <v>0</v>
      </c>
      <c r="BP20" s="104">
        <f>IF(AND(BM20&gt;20%,BM20&lt;49.9%),1,0)</f>
        <v>0</v>
      </c>
      <c r="BQ20" s="104">
        <f>IF(AND(BM20&gt;50%,BM20&lt;89.9%),1,0)</f>
        <v>1</v>
      </c>
      <c r="BR20" s="9">
        <f>IF((BM20&gt;=90%),1,0)</f>
        <v>0</v>
      </c>
      <c r="BS20" s="103">
        <f t="shared" si="38"/>
        <v>0.77885570989231412</v>
      </c>
    </row>
    <row r="21" spans="1:71" ht="13" x14ac:dyDescent="0.3">
      <c r="A21" s="139" t="s">
        <v>88</v>
      </c>
      <c r="B21" s="120">
        <v>0</v>
      </c>
      <c r="C21" s="120">
        <v>11889.3</v>
      </c>
      <c r="D21" s="120">
        <v>0</v>
      </c>
      <c r="E21" s="121">
        <f t="shared" si="0"/>
        <v>0</v>
      </c>
      <c r="F21" s="122"/>
      <c r="G21" s="123">
        <f>IF(E21&lt;=1.05,1,0)</f>
        <v>1</v>
      </c>
      <c r="H21" s="124">
        <f t="shared" si="1"/>
        <v>1</v>
      </c>
      <c r="I21" s="125">
        <v>0</v>
      </c>
      <c r="J21" s="125">
        <v>330229.5</v>
      </c>
      <c r="K21" s="126">
        <v>219330.7</v>
      </c>
      <c r="L21" s="125">
        <v>60311.1</v>
      </c>
      <c r="M21" s="120">
        <v>0</v>
      </c>
      <c r="N21" s="121">
        <f>(I21)/(J21-K21-L21)</f>
        <v>0</v>
      </c>
      <c r="O21" s="122"/>
      <c r="P21" s="123">
        <f>IF(N21&lt;=0.5,1,0)</f>
        <v>1</v>
      </c>
      <c r="Q21" s="124">
        <f t="shared" si="3"/>
        <v>1</v>
      </c>
      <c r="R21" s="127">
        <v>0</v>
      </c>
      <c r="S21" s="120">
        <v>342118.8</v>
      </c>
      <c r="T21" s="128">
        <v>154739.33799999999</v>
      </c>
      <c r="U21" s="121">
        <f t="shared" si="4"/>
        <v>0</v>
      </c>
      <c r="V21" s="122"/>
      <c r="W21" s="123">
        <f>IF(U21&lt;=0.15,1,0)</f>
        <v>1</v>
      </c>
      <c r="X21" s="124">
        <f t="shared" si="6"/>
        <v>1</v>
      </c>
      <c r="Y21" s="120">
        <f t="shared" si="7"/>
        <v>11889.3</v>
      </c>
      <c r="Z21" s="129"/>
      <c r="AA21" s="129">
        <f>C21</f>
        <v>11889.3</v>
      </c>
      <c r="AB21" s="129"/>
      <c r="AC21" s="129">
        <f t="shared" si="8"/>
        <v>330229.5</v>
      </c>
      <c r="AD21" s="129">
        <f t="shared" si="8"/>
        <v>219330.7</v>
      </c>
      <c r="AE21" s="129">
        <f t="shared" si="8"/>
        <v>60311.1</v>
      </c>
      <c r="AF21" s="129">
        <f t="shared" si="9"/>
        <v>50587.69999999999</v>
      </c>
      <c r="AG21" s="129">
        <f t="shared" si="10"/>
        <v>5058.7699999999995</v>
      </c>
      <c r="AH21" s="129">
        <f t="shared" si="39"/>
        <v>16948.07</v>
      </c>
      <c r="AI21" s="130">
        <f t="shared" si="12"/>
        <v>0</v>
      </c>
      <c r="AJ21" s="131"/>
      <c r="AK21" s="132">
        <f>IF(AI21&lt;=0.05,1.5,0)</f>
        <v>1.5</v>
      </c>
      <c r="AL21" s="124">
        <f t="shared" si="13"/>
        <v>1.5</v>
      </c>
      <c r="AM21" s="133"/>
      <c r="AN21" s="123"/>
      <c r="AO21" s="134" t="e">
        <f t="shared" si="14"/>
        <v>#DIV/0!</v>
      </c>
      <c r="AP21" s="131" t="e">
        <f>IF(AO21&lt;=1,1,0)</f>
        <v>#DIV/0!</v>
      </c>
      <c r="AQ21" s="132"/>
      <c r="AR21" s="135" t="e">
        <f>AP21+AQ21</f>
        <v>#DIV/0!</v>
      </c>
      <c r="AS21" s="133"/>
      <c r="AT21" s="123"/>
      <c r="AU21" s="134" t="e">
        <f t="shared" si="16"/>
        <v>#DIV/0!</v>
      </c>
      <c r="AV21" s="131" t="e">
        <f>IF(AU21&lt;=1,1,0)</f>
        <v>#DIV/0!</v>
      </c>
      <c r="AW21" s="132"/>
      <c r="AX21" s="135" t="e">
        <f t="shared" si="17"/>
        <v>#DIV/0!</v>
      </c>
      <c r="AY21" s="98"/>
      <c r="AZ21" s="99"/>
      <c r="BA21" s="91">
        <f t="shared" si="18"/>
        <v>0</v>
      </c>
      <c r="BB21" s="100">
        <f>H21+Q21+X21+AL21+BA21</f>
        <v>4.5</v>
      </c>
      <c r="BC21" s="101">
        <v>207700.29</v>
      </c>
      <c r="BD21" s="102">
        <v>10961.853999999999</v>
      </c>
      <c r="BF21" s="103">
        <f t="shared" si="19"/>
        <v>0.71173483787655278</v>
      </c>
      <c r="BG21" s="9">
        <f t="shared" si="28"/>
        <v>0</v>
      </c>
      <c r="BH21" s="104">
        <f t="shared" si="29"/>
        <v>0</v>
      </c>
      <c r="BI21" s="104">
        <f t="shared" si="30"/>
        <v>0</v>
      </c>
      <c r="BJ21" s="104">
        <f t="shared" si="31"/>
        <v>1</v>
      </c>
      <c r="BK21" s="9">
        <f t="shared" si="32"/>
        <v>0</v>
      </c>
      <c r="BM21" s="103">
        <f t="shared" si="20"/>
        <v>0.40613646478940507</v>
      </c>
      <c r="BN21" s="9">
        <f t="shared" si="33"/>
        <v>0</v>
      </c>
      <c r="BO21" s="104">
        <f t="shared" si="34"/>
        <v>0</v>
      </c>
      <c r="BP21" s="104">
        <f t="shared" si="35"/>
        <v>1</v>
      </c>
      <c r="BQ21" s="104">
        <f t="shared" si="36"/>
        <v>0</v>
      </c>
      <c r="BR21" s="9">
        <f t="shared" si="37"/>
        <v>0</v>
      </c>
      <c r="BS21" s="103">
        <f t="shared" si="38"/>
        <v>0.62895740689429624</v>
      </c>
    </row>
    <row r="22" spans="1:71" s="8" customFormat="1" ht="13" x14ac:dyDescent="0.3">
      <c r="A22" s="109" t="s">
        <v>89</v>
      </c>
      <c r="B22" s="76">
        <v>0</v>
      </c>
      <c r="C22" s="76">
        <v>76852.600000000006</v>
      </c>
      <c r="D22" s="76">
        <v>0</v>
      </c>
      <c r="E22" s="84">
        <f t="shared" si="0"/>
        <v>0</v>
      </c>
      <c r="F22" s="78">
        <f t="shared" ref="F22:F27" si="40">IF(E22&lt;=1.05,1,0)</f>
        <v>1</v>
      </c>
      <c r="G22" s="92"/>
      <c r="H22" s="93">
        <f t="shared" si="1"/>
        <v>1</v>
      </c>
      <c r="I22" s="81">
        <v>0</v>
      </c>
      <c r="J22" s="81">
        <v>1163937</v>
      </c>
      <c r="K22" s="82">
        <v>724012.7</v>
      </c>
      <c r="L22" s="81">
        <v>204369.2</v>
      </c>
      <c r="M22" s="76">
        <v>0</v>
      </c>
      <c r="N22" s="84">
        <f t="shared" si="22"/>
        <v>0</v>
      </c>
      <c r="O22" s="78">
        <f t="shared" ref="O22:O27" si="41">IF(N22&lt;=1,1,0)</f>
        <v>1</v>
      </c>
      <c r="P22" s="92"/>
      <c r="Q22" s="93">
        <f t="shared" si="3"/>
        <v>1</v>
      </c>
      <c r="R22" s="107">
        <v>0</v>
      </c>
      <c r="S22" s="76">
        <v>1240789.6000000001</v>
      </c>
      <c r="T22" s="86">
        <v>502302.63299999997</v>
      </c>
      <c r="U22" s="84">
        <f t="shared" si="4"/>
        <v>0</v>
      </c>
      <c r="V22" s="78">
        <f t="shared" ref="V22:V27" si="42">IF(U22&lt;=0.15,1,0)</f>
        <v>1</v>
      </c>
      <c r="W22" s="92"/>
      <c r="X22" s="93">
        <f t="shared" si="6"/>
        <v>1</v>
      </c>
      <c r="Y22" s="76">
        <f t="shared" si="7"/>
        <v>76852.600000000006</v>
      </c>
      <c r="Z22" s="88"/>
      <c r="AA22" s="88">
        <f t="shared" si="23"/>
        <v>76852.600000000006</v>
      </c>
      <c r="AB22" s="88"/>
      <c r="AC22" s="88">
        <f t="shared" si="8"/>
        <v>1163937</v>
      </c>
      <c r="AD22" s="88">
        <f t="shared" si="8"/>
        <v>724012.7</v>
      </c>
      <c r="AE22" s="88">
        <f t="shared" si="8"/>
        <v>204369.2</v>
      </c>
      <c r="AF22" s="88">
        <f t="shared" si="9"/>
        <v>235555.10000000003</v>
      </c>
      <c r="AG22" s="89">
        <f t="shared" si="10"/>
        <v>23555.510000000006</v>
      </c>
      <c r="AH22" s="88">
        <f t="shared" si="39"/>
        <v>100408.11000000002</v>
      </c>
      <c r="AI22" s="110">
        <f t="shared" si="12"/>
        <v>0</v>
      </c>
      <c r="AJ22" s="91">
        <f t="shared" ref="AJ22:AJ27" si="43">IF(AI22&lt;=0.1,1.5,0)</f>
        <v>1.5</v>
      </c>
      <c r="AK22" s="92"/>
      <c r="AL22" s="93">
        <f t="shared" si="13"/>
        <v>1.5</v>
      </c>
      <c r="AM22" s="94"/>
      <c r="AN22" s="92"/>
      <c r="AO22" s="108" t="e">
        <f t="shared" si="14"/>
        <v>#DIV/0!</v>
      </c>
      <c r="AP22" s="96" t="e">
        <f>IF(AO22&lt;=1,1,0)</f>
        <v>#DIV/0!</v>
      </c>
      <c r="AQ22" s="92"/>
      <c r="AR22" s="112" t="e">
        <f t="shared" si="15"/>
        <v>#DIV/0!</v>
      </c>
      <c r="AS22" s="94"/>
      <c r="AT22" s="92"/>
      <c r="AU22" s="108" t="e">
        <f t="shared" si="16"/>
        <v>#DIV/0!</v>
      </c>
      <c r="AV22" s="96" t="e">
        <f>IF(AU22&lt;=1,1,0)</f>
        <v>#DIV/0!</v>
      </c>
      <c r="AW22" s="92"/>
      <c r="AX22" s="112" t="e">
        <f t="shared" si="17"/>
        <v>#DIV/0!</v>
      </c>
      <c r="AY22" s="98"/>
      <c r="AZ22" s="99"/>
      <c r="BA22" s="91">
        <f t="shared" si="18"/>
        <v>0</v>
      </c>
      <c r="BB22" s="100">
        <f t="shared" si="27"/>
        <v>4.5</v>
      </c>
      <c r="BC22" s="101">
        <v>1159243.03</v>
      </c>
      <c r="BD22" s="102">
        <v>31817.344000000001</v>
      </c>
      <c r="BE22" s="9"/>
      <c r="BF22" s="103">
        <f t="shared" si="19"/>
        <v>0.64397995063639113</v>
      </c>
      <c r="BG22" s="9">
        <f t="shared" si="28"/>
        <v>0</v>
      </c>
      <c r="BH22" s="104">
        <f t="shared" si="29"/>
        <v>0</v>
      </c>
      <c r="BI22" s="104">
        <f t="shared" si="30"/>
        <v>1</v>
      </c>
      <c r="BJ22" s="104">
        <f t="shared" si="31"/>
        <v>0</v>
      </c>
      <c r="BK22" s="9">
        <f t="shared" si="32"/>
        <v>0</v>
      </c>
      <c r="BM22" s="103">
        <f t="shared" si="20"/>
        <v>0.3569744193774626</v>
      </c>
      <c r="BN22" s="9">
        <f t="shared" si="33"/>
        <v>0</v>
      </c>
      <c r="BO22" s="104">
        <f t="shared" si="34"/>
        <v>0</v>
      </c>
      <c r="BP22" s="104">
        <f t="shared" si="35"/>
        <v>1</v>
      </c>
      <c r="BQ22" s="104">
        <f t="shared" si="36"/>
        <v>0</v>
      </c>
      <c r="BR22" s="9">
        <f t="shared" si="37"/>
        <v>0</v>
      </c>
      <c r="BS22" s="103">
        <f t="shared" si="38"/>
        <v>0.99596716145289654</v>
      </c>
    </row>
    <row r="23" spans="1:71" s="8" customFormat="1" ht="13" x14ac:dyDescent="0.3">
      <c r="A23" s="109" t="s">
        <v>90</v>
      </c>
      <c r="B23" s="76">
        <v>0</v>
      </c>
      <c r="C23" s="76">
        <v>6883.8</v>
      </c>
      <c r="D23" s="76">
        <v>0</v>
      </c>
      <c r="E23" s="84">
        <f t="shared" si="0"/>
        <v>0</v>
      </c>
      <c r="F23" s="78">
        <f t="shared" si="40"/>
        <v>1</v>
      </c>
      <c r="G23" s="92"/>
      <c r="H23" s="93">
        <f t="shared" si="1"/>
        <v>1</v>
      </c>
      <c r="I23" s="81">
        <v>0</v>
      </c>
      <c r="J23" s="81">
        <v>537134.9</v>
      </c>
      <c r="K23" s="82">
        <v>418993.6</v>
      </c>
      <c r="L23" s="81">
        <v>91819.5</v>
      </c>
      <c r="M23" s="76">
        <v>0</v>
      </c>
      <c r="N23" s="84">
        <f>(I23)/(J23-K23-L23)</f>
        <v>0</v>
      </c>
      <c r="O23" s="78">
        <f t="shared" si="41"/>
        <v>1</v>
      </c>
      <c r="P23" s="92"/>
      <c r="Q23" s="93">
        <f t="shared" si="3"/>
        <v>1</v>
      </c>
      <c r="R23" s="107">
        <v>0</v>
      </c>
      <c r="S23" s="76">
        <v>544018.69999999995</v>
      </c>
      <c r="T23" s="86">
        <v>161037.228</v>
      </c>
      <c r="U23" s="84">
        <f t="shared" si="4"/>
        <v>0</v>
      </c>
      <c r="V23" s="78">
        <f t="shared" si="42"/>
        <v>1</v>
      </c>
      <c r="W23" s="92"/>
      <c r="X23" s="93">
        <f t="shared" si="6"/>
        <v>1</v>
      </c>
      <c r="Y23" s="76">
        <f t="shared" si="7"/>
        <v>6883.8</v>
      </c>
      <c r="Z23" s="88"/>
      <c r="AA23" s="88">
        <f>C23</f>
        <v>6883.8</v>
      </c>
      <c r="AB23" s="88"/>
      <c r="AC23" s="88">
        <f t="shared" si="8"/>
        <v>537134.9</v>
      </c>
      <c r="AD23" s="88">
        <f t="shared" si="8"/>
        <v>418993.6</v>
      </c>
      <c r="AE23" s="88">
        <f t="shared" si="8"/>
        <v>91819.5</v>
      </c>
      <c r="AF23" s="88">
        <f t="shared" si="9"/>
        <v>26321.800000000047</v>
      </c>
      <c r="AG23" s="89">
        <f t="shared" si="10"/>
        <v>2632.1800000000048</v>
      </c>
      <c r="AH23" s="88">
        <f t="shared" si="39"/>
        <v>9515.980000000005</v>
      </c>
      <c r="AI23" s="110">
        <f t="shared" si="12"/>
        <v>0</v>
      </c>
      <c r="AJ23" s="91">
        <f t="shared" si="43"/>
        <v>1.5</v>
      </c>
      <c r="AK23" s="92"/>
      <c r="AL23" s="93">
        <f t="shared" si="13"/>
        <v>1.5</v>
      </c>
      <c r="AM23" s="94"/>
      <c r="AN23" s="92"/>
      <c r="AO23" s="108" t="e">
        <f t="shared" si="14"/>
        <v>#DIV/0!</v>
      </c>
      <c r="AP23" s="96" t="e">
        <f>IF(AO23&lt;=1,1,0)</f>
        <v>#DIV/0!</v>
      </c>
      <c r="AQ23" s="92"/>
      <c r="AR23" s="112" t="e">
        <f>AP23+AQ23</f>
        <v>#DIV/0!</v>
      </c>
      <c r="AS23" s="94"/>
      <c r="AT23" s="92"/>
      <c r="AU23" s="108" t="e">
        <f t="shared" si="16"/>
        <v>#DIV/0!</v>
      </c>
      <c r="AV23" s="96" t="e">
        <f>IF(AU23&lt;=1,1,0)</f>
        <v>#DIV/0!</v>
      </c>
      <c r="AW23" s="92"/>
      <c r="AX23" s="112" t="e">
        <f t="shared" si="17"/>
        <v>#DIV/0!</v>
      </c>
      <c r="AY23" s="98"/>
      <c r="AZ23" s="99"/>
      <c r="BA23" s="91">
        <f t="shared" si="18"/>
        <v>0</v>
      </c>
      <c r="BB23" s="100">
        <f>H23+Q23+X23+AL23+BA23</f>
        <v>4.5</v>
      </c>
      <c r="BC23" s="101">
        <v>324203.13</v>
      </c>
      <c r="BD23" s="102">
        <v>40337.11</v>
      </c>
      <c r="BE23" s="9"/>
      <c r="BF23" s="103">
        <f t="shared" si="19"/>
        <v>0.93001339290395812</v>
      </c>
      <c r="BG23" s="9">
        <f t="shared" si="28"/>
        <v>0</v>
      </c>
      <c r="BH23" s="104">
        <f t="shared" si="29"/>
        <v>0</v>
      </c>
      <c r="BI23" s="104">
        <f t="shared" si="30"/>
        <v>0</v>
      </c>
      <c r="BJ23" s="104">
        <f t="shared" si="31"/>
        <v>0</v>
      </c>
      <c r="BK23" s="9">
        <f t="shared" si="32"/>
        <v>1</v>
      </c>
      <c r="BM23" s="103">
        <f t="shared" si="20"/>
        <v>0.35138906682730003</v>
      </c>
      <c r="BN23" s="9">
        <f t="shared" si="33"/>
        <v>0</v>
      </c>
      <c r="BO23" s="104">
        <f t="shared" si="34"/>
        <v>0</v>
      </c>
      <c r="BP23" s="104">
        <f t="shared" si="35"/>
        <v>1</v>
      </c>
      <c r="BQ23" s="104">
        <f t="shared" si="36"/>
        <v>0</v>
      </c>
      <c r="BR23" s="9">
        <f t="shared" si="37"/>
        <v>0</v>
      </c>
      <c r="BS23" s="103">
        <f t="shared" si="38"/>
        <v>0.60357859822551096</v>
      </c>
    </row>
    <row r="24" spans="1:71" s="8" customFormat="1" ht="13" x14ac:dyDescent="0.3">
      <c r="A24" s="109" t="s">
        <v>91</v>
      </c>
      <c r="B24" s="76">
        <v>0</v>
      </c>
      <c r="C24" s="76">
        <v>16145.1</v>
      </c>
      <c r="D24" s="76">
        <v>0</v>
      </c>
      <c r="E24" s="84">
        <f t="shared" si="0"/>
        <v>0</v>
      </c>
      <c r="F24" s="78">
        <f t="shared" si="40"/>
        <v>1</v>
      </c>
      <c r="G24" s="92"/>
      <c r="H24" s="93">
        <f t="shared" si="1"/>
        <v>1</v>
      </c>
      <c r="I24" s="81">
        <v>0</v>
      </c>
      <c r="J24" s="81">
        <v>939477.4</v>
      </c>
      <c r="K24" s="82">
        <v>587633.4</v>
      </c>
      <c r="L24" s="81">
        <v>238387.3</v>
      </c>
      <c r="M24" s="76">
        <v>0</v>
      </c>
      <c r="N24" s="84">
        <f>(I24)/(J24-K24-L24)</f>
        <v>0</v>
      </c>
      <c r="O24" s="78">
        <f t="shared" si="41"/>
        <v>1</v>
      </c>
      <c r="P24" s="92"/>
      <c r="Q24" s="93">
        <f t="shared" si="3"/>
        <v>1</v>
      </c>
      <c r="R24" s="107">
        <v>0</v>
      </c>
      <c r="S24" s="76">
        <v>971290.3</v>
      </c>
      <c r="T24" s="86">
        <v>461394.55499999999</v>
      </c>
      <c r="U24" s="84">
        <f t="shared" si="4"/>
        <v>0</v>
      </c>
      <c r="V24" s="78">
        <f t="shared" si="42"/>
        <v>1</v>
      </c>
      <c r="W24" s="92"/>
      <c r="X24" s="93">
        <f t="shared" si="6"/>
        <v>1</v>
      </c>
      <c r="Y24" s="76">
        <f t="shared" si="7"/>
        <v>16145.1</v>
      </c>
      <c r="Z24" s="88"/>
      <c r="AA24" s="88">
        <f>C24</f>
        <v>16145.1</v>
      </c>
      <c r="AB24" s="88"/>
      <c r="AC24" s="88">
        <f t="shared" si="8"/>
        <v>939477.4</v>
      </c>
      <c r="AD24" s="88">
        <f t="shared" si="8"/>
        <v>587633.4</v>
      </c>
      <c r="AE24" s="88">
        <f t="shared" si="8"/>
        <v>238387.3</v>
      </c>
      <c r="AF24" s="88">
        <f t="shared" si="9"/>
        <v>113456.70000000001</v>
      </c>
      <c r="AG24" s="89">
        <f t="shared" si="10"/>
        <v>11345.670000000002</v>
      </c>
      <c r="AH24" s="88">
        <f t="shared" si="39"/>
        <v>27490.770000000004</v>
      </c>
      <c r="AI24" s="110">
        <f t="shared" si="12"/>
        <v>0</v>
      </c>
      <c r="AJ24" s="91">
        <f t="shared" si="43"/>
        <v>1.5</v>
      </c>
      <c r="AK24" s="92"/>
      <c r="AL24" s="93">
        <f t="shared" si="13"/>
        <v>1.5</v>
      </c>
      <c r="AM24" s="94"/>
      <c r="AN24" s="92"/>
      <c r="AO24" s="108" t="e">
        <f t="shared" si="14"/>
        <v>#DIV/0!</v>
      </c>
      <c r="AP24" s="96" t="e">
        <f>IF(AO24&lt;=1,1,0)</f>
        <v>#DIV/0!</v>
      </c>
      <c r="AQ24" s="92"/>
      <c r="AR24" s="112" t="e">
        <f>AP24+AQ24</f>
        <v>#DIV/0!</v>
      </c>
      <c r="AS24" s="94"/>
      <c r="AT24" s="92"/>
      <c r="AU24" s="108" t="e">
        <f t="shared" si="16"/>
        <v>#DIV/0!</v>
      </c>
      <c r="AV24" s="96" t="e">
        <f>IF(AU24&lt;=1,1,0)</f>
        <v>#DIV/0!</v>
      </c>
      <c r="AW24" s="92"/>
      <c r="AX24" s="112" t="e">
        <f t="shared" si="17"/>
        <v>#DIV/0!</v>
      </c>
      <c r="AY24" s="98"/>
      <c r="AZ24" s="99"/>
      <c r="BA24" s="91">
        <f t="shared" si="18"/>
        <v>0</v>
      </c>
      <c r="BB24" s="100">
        <f>H24+Q24+X24+AL24+BA24</f>
        <v>4.5</v>
      </c>
      <c r="BC24" s="101">
        <v>833092.97</v>
      </c>
      <c r="BD24" s="102">
        <v>16988.464</v>
      </c>
      <c r="BE24" s="9"/>
      <c r="BF24" s="103">
        <f t="shared" si="19"/>
        <v>0.76268401766225258</v>
      </c>
      <c r="BG24" s="9">
        <f t="shared" si="28"/>
        <v>0</v>
      </c>
      <c r="BH24" s="104">
        <f t="shared" si="29"/>
        <v>0</v>
      </c>
      <c r="BI24" s="104">
        <f t="shared" si="30"/>
        <v>0</v>
      </c>
      <c r="BJ24" s="104">
        <f t="shared" si="31"/>
        <v>1</v>
      </c>
      <c r="BK24" s="9">
        <f t="shared" si="32"/>
        <v>0</v>
      </c>
      <c r="BM24" s="103">
        <f t="shared" si="20"/>
        <v>0.53416634098217852</v>
      </c>
      <c r="BN24" s="9">
        <f t="shared" si="33"/>
        <v>0</v>
      </c>
      <c r="BO24" s="104">
        <f t="shared" si="34"/>
        <v>0</v>
      </c>
      <c r="BP24" s="104">
        <f t="shared" si="35"/>
        <v>0</v>
      </c>
      <c r="BQ24" s="104">
        <f t="shared" si="36"/>
        <v>1</v>
      </c>
      <c r="BR24" s="9">
        <f t="shared" si="37"/>
        <v>0</v>
      </c>
      <c r="BS24" s="103">
        <f t="shared" si="38"/>
        <v>0.8867621190248961</v>
      </c>
    </row>
    <row r="25" spans="1:71" s="8" customFormat="1" ht="13" x14ac:dyDescent="0.3">
      <c r="A25" s="139" t="s">
        <v>92</v>
      </c>
      <c r="B25" s="76">
        <v>0</v>
      </c>
      <c r="C25" s="76">
        <v>19062.400000000001</v>
      </c>
      <c r="D25" s="76">
        <v>0</v>
      </c>
      <c r="E25" s="84">
        <f t="shared" si="0"/>
        <v>0</v>
      </c>
      <c r="F25" s="78">
        <f t="shared" si="40"/>
        <v>1</v>
      </c>
      <c r="G25" s="92"/>
      <c r="H25" s="93">
        <f t="shared" si="1"/>
        <v>1</v>
      </c>
      <c r="I25" s="81">
        <v>0</v>
      </c>
      <c r="J25" s="81">
        <v>726958.5</v>
      </c>
      <c r="K25" s="82">
        <v>581293.69999999995</v>
      </c>
      <c r="L25" s="81">
        <v>113180</v>
      </c>
      <c r="M25" s="76">
        <v>0</v>
      </c>
      <c r="N25" s="84">
        <f t="shared" si="22"/>
        <v>0</v>
      </c>
      <c r="O25" s="78">
        <f t="shared" si="41"/>
        <v>1</v>
      </c>
      <c r="P25" s="92"/>
      <c r="Q25" s="93">
        <f t="shared" si="3"/>
        <v>1</v>
      </c>
      <c r="R25" s="107">
        <v>0</v>
      </c>
      <c r="S25" s="76">
        <v>746020.9</v>
      </c>
      <c r="T25" s="86">
        <v>211502.51</v>
      </c>
      <c r="U25" s="84">
        <f t="shared" si="4"/>
        <v>0</v>
      </c>
      <c r="V25" s="78">
        <f t="shared" si="42"/>
        <v>1</v>
      </c>
      <c r="W25" s="92"/>
      <c r="X25" s="93">
        <f t="shared" si="6"/>
        <v>1</v>
      </c>
      <c r="Y25" s="76">
        <f t="shared" si="7"/>
        <v>19062.400000000001</v>
      </c>
      <c r="Z25" s="88"/>
      <c r="AA25" s="88">
        <f t="shared" si="23"/>
        <v>19062.400000000001</v>
      </c>
      <c r="AB25" s="88"/>
      <c r="AC25" s="88">
        <f t="shared" si="8"/>
        <v>726958.5</v>
      </c>
      <c r="AD25" s="88">
        <f t="shared" si="8"/>
        <v>581293.69999999995</v>
      </c>
      <c r="AE25" s="88">
        <f t="shared" si="8"/>
        <v>113180</v>
      </c>
      <c r="AF25" s="88">
        <f t="shared" si="9"/>
        <v>32484.800000000047</v>
      </c>
      <c r="AG25" s="89">
        <f>AF25*5%</f>
        <v>1624.2400000000025</v>
      </c>
      <c r="AH25" s="88">
        <f t="shared" si="39"/>
        <v>20686.640000000003</v>
      </c>
      <c r="AI25" s="110">
        <f t="shared" si="12"/>
        <v>0</v>
      </c>
      <c r="AJ25" s="91">
        <f t="shared" si="43"/>
        <v>1.5</v>
      </c>
      <c r="AK25" s="92"/>
      <c r="AL25" s="93">
        <f t="shared" si="13"/>
        <v>1.5</v>
      </c>
      <c r="AM25" s="94"/>
      <c r="AN25" s="92"/>
      <c r="AO25" s="108" t="e">
        <f t="shared" si="14"/>
        <v>#DIV/0!</v>
      </c>
      <c r="AP25" s="96"/>
      <c r="AQ25" s="92" t="e">
        <f>IF(AO25&lt;=1,1,0)</f>
        <v>#DIV/0!</v>
      </c>
      <c r="AR25" s="112" t="e">
        <f t="shared" si="15"/>
        <v>#DIV/0!</v>
      </c>
      <c r="AS25" s="94"/>
      <c r="AT25" s="92"/>
      <c r="AU25" s="108" t="e">
        <f t="shared" si="16"/>
        <v>#DIV/0!</v>
      </c>
      <c r="AV25" s="96"/>
      <c r="AW25" s="92" t="e">
        <f>IF(AU25&lt;=1,1,0)</f>
        <v>#DIV/0!</v>
      </c>
      <c r="AX25" s="112" t="e">
        <f t="shared" si="17"/>
        <v>#DIV/0!</v>
      </c>
      <c r="AY25" s="98"/>
      <c r="AZ25" s="99"/>
      <c r="BA25" s="91">
        <f t="shared" si="18"/>
        <v>0</v>
      </c>
      <c r="BB25" s="100">
        <f t="shared" si="27"/>
        <v>4.5</v>
      </c>
      <c r="BC25" s="101">
        <v>342588.77</v>
      </c>
      <c r="BD25" s="102">
        <v>40388.538</v>
      </c>
      <c r="BE25" s="9"/>
      <c r="BF25" s="103">
        <f t="shared" si="19"/>
        <v>0.93697851876743143</v>
      </c>
      <c r="BG25" s="9">
        <f t="shared" si="28"/>
        <v>0</v>
      </c>
      <c r="BH25" s="104">
        <f t="shared" si="29"/>
        <v>0</v>
      </c>
      <c r="BI25" s="104">
        <f t="shared" si="30"/>
        <v>0</v>
      </c>
      <c r="BJ25" s="104">
        <f t="shared" si="31"/>
        <v>0</v>
      </c>
      <c r="BK25" s="9">
        <f t="shared" si="32"/>
        <v>1</v>
      </c>
      <c r="BM25" s="103">
        <f t="shared" si="20"/>
        <v>0.29792754566689583</v>
      </c>
      <c r="BN25" s="9">
        <f t="shared" si="33"/>
        <v>0</v>
      </c>
      <c r="BO25" s="104">
        <f t="shared" si="34"/>
        <v>0</v>
      </c>
      <c r="BP25" s="104">
        <f t="shared" si="35"/>
        <v>1</v>
      </c>
      <c r="BQ25" s="104">
        <f t="shared" si="36"/>
        <v>0</v>
      </c>
      <c r="BR25" s="9">
        <f t="shared" si="37"/>
        <v>0</v>
      </c>
      <c r="BS25" s="103">
        <f t="shared" si="38"/>
        <v>0.47126317389507105</v>
      </c>
    </row>
    <row r="26" spans="1:71" s="8" customFormat="1" ht="13" x14ac:dyDescent="0.3">
      <c r="A26" s="139" t="s">
        <v>93</v>
      </c>
      <c r="B26" s="76">
        <v>0</v>
      </c>
      <c r="C26" s="76">
        <v>15437.6</v>
      </c>
      <c r="D26" s="76">
        <v>0</v>
      </c>
      <c r="E26" s="84">
        <f t="shared" si="0"/>
        <v>0</v>
      </c>
      <c r="F26" s="78">
        <f t="shared" si="40"/>
        <v>1</v>
      </c>
      <c r="G26" s="92"/>
      <c r="H26" s="93">
        <f t="shared" si="1"/>
        <v>1</v>
      </c>
      <c r="I26" s="81">
        <v>0</v>
      </c>
      <c r="J26" s="81">
        <v>1333605.7</v>
      </c>
      <c r="K26" s="82">
        <v>1021725.3</v>
      </c>
      <c r="L26" s="81">
        <v>221269.1</v>
      </c>
      <c r="M26" s="76">
        <v>0</v>
      </c>
      <c r="N26" s="84">
        <f t="shared" si="22"/>
        <v>0</v>
      </c>
      <c r="O26" s="78">
        <f t="shared" si="41"/>
        <v>1</v>
      </c>
      <c r="P26" s="92"/>
      <c r="Q26" s="93">
        <f t="shared" si="3"/>
        <v>1</v>
      </c>
      <c r="R26" s="107">
        <v>0</v>
      </c>
      <c r="S26" s="76">
        <v>1349043.3</v>
      </c>
      <c r="T26" s="86">
        <v>403862.36200000002</v>
      </c>
      <c r="U26" s="84">
        <f t="shared" si="4"/>
        <v>0</v>
      </c>
      <c r="V26" s="78">
        <f t="shared" si="42"/>
        <v>1</v>
      </c>
      <c r="W26" s="92"/>
      <c r="X26" s="93">
        <f t="shared" si="6"/>
        <v>1</v>
      </c>
      <c r="Y26" s="76">
        <f t="shared" si="7"/>
        <v>15437.6</v>
      </c>
      <c r="Z26" s="88"/>
      <c r="AA26" s="88">
        <f t="shared" si="23"/>
        <v>15437.6</v>
      </c>
      <c r="AB26" s="88"/>
      <c r="AC26" s="88">
        <f t="shared" ref="AC26:AE29" si="44">J26</f>
        <v>1333605.7</v>
      </c>
      <c r="AD26" s="88">
        <f t="shared" si="44"/>
        <v>1021725.3</v>
      </c>
      <c r="AE26" s="88">
        <f t="shared" si="44"/>
        <v>221269.1</v>
      </c>
      <c r="AF26" s="88">
        <f t="shared" si="9"/>
        <v>90611.299999999901</v>
      </c>
      <c r="AG26" s="89">
        <f>AF26*10%</f>
        <v>9061.1299999999901</v>
      </c>
      <c r="AH26" s="88">
        <f t="shared" si="39"/>
        <v>24498.729999999989</v>
      </c>
      <c r="AI26" s="110">
        <f t="shared" si="12"/>
        <v>0</v>
      </c>
      <c r="AJ26" s="91">
        <f t="shared" si="43"/>
        <v>1.5</v>
      </c>
      <c r="AK26" s="92"/>
      <c r="AL26" s="93">
        <f t="shared" si="13"/>
        <v>1.5</v>
      </c>
      <c r="AM26" s="94"/>
      <c r="AN26" s="92"/>
      <c r="AO26" s="108" t="e">
        <f t="shared" si="14"/>
        <v>#DIV/0!</v>
      </c>
      <c r="AP26" s="96"/>
      <c r="AQ26" s="92" t="e">
        <f>IF(AO26&lt;=1,1,0)</f>
        <v>#DIV/0!</v>
      </c>
      <c r="AR26" s="112" t="e">
        <f t="shared" si="15"/>
        <v>#DIV/0!</v>
      </c>
      <c r="AS26" s="94"/>
      <c r="AT26" s="92"/>
      <c r="AU26" s="108" t="e">
        <f t="shared" si="16"/>
        <v>#DIV/0!</v>
      </c>
      <c r="AV26" s="96"/>
      <c r="AW26" s="92" t="e">
        <f>IF(AU26&lt;=1,1,0)</f>
        <v>#DIV/0!</v>
      </c>
      <c r="AX26" s="112" t="e">
        <f t="shared" si="17"/>
        <v>#DIV/0!</v>
      </c>
      <c r="AY26" s="98"/>
      <c r="AZ26" s="99"/>
      <c r="BA26" s="91">
        <f t="shared" si="18"/>
        <v>0</v>
      </c>
      <c r="BB26" s="100">
        <f t="shared" si="27"/>
        <v>4.5</v>
      </c>
      <c r="BC26" s="101">
        <v>1504938</v>
      </c>
      <c r="BD26" s="102">
        <v>46282.382380000003</v>
      </c>
      <c r="BE26" s="9"/>
      <c r="BF26" s="103">
        <f t="shared" si="19"/>
        <v>0.90254159799099332</v>
      </c>
      <c r="BG26" s="9">
        <f t="shared" si="28"/>
        <v>0</v>
      </c>
      <c r="BH26" s="104">
        <f t="shared" si="29"/>
        <v>0</v>
      </c>
      <c r="BI26" s="104">
        <f t="shared" si="30"/>
        <v>0</v>
      </c>
      <c r="BJ26" s="104">
        <f t="shared" si="31"/>
        <v>0</v>
      </c>
      <c r="BK26" s="9">
        <f t="shared" si="32"/>
        <v>1</v>
      </c>
      <c r="BM26" s="103">
        <f t="shared" si="20"/>
        <v>0.28776918472525803</v>
      </c>
      <c r="BN26" s="9">
        <f t="shared" si="33"/>
        <v>0</v>
      </c>
      <c r="BO26" s="104">
        <f t="shared" si="34"/>
        <v>0</v>
      </c>
      <c r="BP26" s="104">
        <f t="shared" si="35"/>
        <v>1</v>
      </c>
      <c r="BQ26" s="104">
        <f t="shared" si="36"/>
        <v>0</v>
      </c>
      <c r="BR26" s="9">
        <f t="shared" si="37"/>
        <v>0</v>
      </c>
      <c r="BS26" s="103">
        <f t="shared" si="38"/>
        <v>1.1284729811817691</v>
      </c>
    </row>
    <row r="27" spans="1:71" s="8" customFormat="1" ht="13" x14ac:dyDescent="0.3">
      <c r="A27" s="109" t="s">
        <v>94</v>
      </c>
      <c r="B27" s="113">
        <v>0</v>
      </c>
      <c r="C27" s="113">
        <v>9199.6</v>
      </c>
      <c r="D27" s="113">
        <v>0</v>
      </c>
      <c r="E27" s="84">
        <f t="shared" si="0"/>
        <v>0</v>
      </c>
      <c r="F27" s="78">
        <f t="shared" si="40"/>
        <v>1</v>
      </c>
      <c r="G27" s="79"/>
      <c r="H27" s="80">
        <f t="shared" si="1"/>
        <v>1</v>
      </c>
      <c r="I27" s="81">
        <v>0</v>
      </c>
      <c r="J27" s="114">
        <v>700542.2</v>
      </c>
      <c r="K27" s="82">
        <v>491064.8</v>
      </c>
      <c r="L27" s="81">
        <v>121665.8</v>
      </c>
      <c r="M27" s="113">
        <v>0</v>
      </c>
      <c r="N27" s="84">
        <f>(I27)/(J27-K27-L27)</f>
        <v>0</v>
      </c>
      <c r="O27" s="78">
        <f t="shared" si="41"/>
        <v>1</v>
      </c>
      <c r="P27" s="79"/>
      <c r="Q27" s="80">
        <f t="shared" si="3"/>
        <v>1</v>
      </c>
      <c r="R27" s="115">
        <v>0</v>
      </c>
      <c r="S27" s="113">
        <v>709741.8</v>
      </c>
      <c r="T27" s="86">
        <v>373704.92200000002</v>
      </c>
      <c r="U27" s="77">
        <f t="shared" si="4"/>
        <v>0</v>
      </c>
      <c r="V27" s="78">
        <f t="shared" si="42"/>
        <v>1</v>
      </c>
      <c r="W27" s="79"/>
      <c r="X27" s="80">
        <f t="shared" si="6"/>
        <v>1</v>
      </c>
      <c r="Y27" s="113">
        <f t="shared" si="7"/>
        <v>9199.6</v>
      </c>
      <c r="Z27" s="89"/>
      <c r="AA27" s="89">
        <f t="shared" si="23"/>
        <v>9199.6</v>
      </c>
      <c r="AB27" s="89"/>
      <c r="AC27" s="89">
        <f t="shared" si="44"/>
        <v>700542.2</v>
      </c>
      <c r="AD27" s="89">
        <f t="shared" si="44"/>
        <v>491064.8</v>
      </c>
      <c r="AE27" s="88">
        <f t="shared" si="44"/>
        <v>121665.8</v>
      </c>
      <c r="AF27" s="89">
        <f t="shared" si="9"/>
        <v>87811.599999999962</v>
      </c>
      <c r="AG27" s="89">
        <f>AF27*10%</f>
        <v>8781.1599999999962</v>
      </c>
      <c r="AH27" s="89">
        <f t="shared" si="39"/>
        <v>17980.759999999995</v>
      </c>
      <c r="AI27" s="116">
        <f t="shared" si="12"/>
        <v>0</v>
      </c>
      <c r="AJ27" s="91">
        <f t="shared" si="43"/>
        <v>1.5</v>
      </c>
      <c r="AK27" s="79"/>
      <c r="AL27" s="80">
        <f t="shared" si="13"/>
        <v>1.5</v>
      </c>
      <c r="AM27" s="117"/>
      <c r="AN27" s="79"/>
      <c r="AO27" s="95" t="e">
        <f t="shared" si="14"/>
        <v>#DIV/0!</v>
      </c>
      <c r="AP27" s="96" t="e">
        <f>IF(AO27&lt;=1,1,0)</f>
        <v>#DIV/0!</v>
      </c>
      <c r="AQ27" s="79"/>
      <c r="AR27" s="97" t="e">
        <f t="shared" si="15"/>
        <v>#DIV/0!</v>
      </c>
      <c r="AS27" s="117"/>
      <c r="AT27" s="79"/>
      <c r="AU27" s="95" t="e">
        <f t="shared" si="16"/>
        <v>#DIV/0!</v>
      </c>
      <c r="AV27" s="96" t="e">
        <f>IF(AU27&lt;=1,1,0)</f>
        <v>#DIV/0!</v>
      </c>
      <c r="AW27" s="79"/>
      <c r="AX27" s="97" t="e">
        <f t="shared" si="17"/>
        <v>#DIV/0!</v>
      </c>
      <c r="AY27" s="98"/>
      <c r="AZ27" s="99"/>
      <c r="BA27" s="91">
        <f t="shared" si="18"/>
        <v>0</v>
      </c>
      <c r="BB27" s="100">
        <f>H27+Q27+X27+AL27+BA27</f>
        <v>4.5</v>
      </c>
      <c r="BC27" s="101">
        <v>482639.51</v>
      </c>
      <c r="BD27" s="102">
        <v>30349.421999999999</v>
      </c>
      <c r="BE27" s="9"/>
      <c r="BF27" s="103">
        <f t="shared" si="19"/>
        <v>0.73132930081494563</v>
      </c>
      <c r="BG27" s="9">
        <f t="shared" si="28"/>
        <v>0</v>
      </c>
      <c r="BH27" s="104">
        <f t="shared" si="29"/>
        <v>0</v>
      </c>
      <c r="BI27" s="104">
        <f t="shared" si="30"/>
        <v>0</v>
      </c>
      <c r="BJ27" s="104">
        <f t="shared" si="31"/>
        <v>1</v>
      </c>
      <c r="BK27" s="9">
        <f t="shared" si="32"/>
        <v>0</v>
      </c>
      <c r="BM27" s="103">
        <f t="shared" si="20"/>
        <v>0.46510980305006716</v>
      </c>
      <c r="BN27" s="9">
        <f t="shared" si="33"/>
        <v>0</v>
      </c>
      <c r="BO27" s="104">
        <f t="shared" si="34"/>
        <v>0</v>
      </c>
      <c r="BP27" s="104">
        <f t="shared" si="35"/>
        <v>1</v>
      </c>
      <c r="BQ27" s="104">
        <f t="shared" si="36"/>
        <v>0</v>
      </c>
      <c r="BR27" s="9">
        <f t="shared" si="37"/>
        <v>0</v>
      </c>
      <c r="BS27" s="103">
        <f t="shared" si="38"/>
        <v>0.68895137223710445</v>
      </c>
    </row>
    <row r="28" spans="1:71" s="8" customFormat="1" ht="13" x14ac:dyDescent="0.3">
      <c r="A28" s="139" t="s">
        <v>95</v>
      </c>
      <c r="B28" s="120">
        <v>0</v>
      </c>
      <c r="C28" s="120">
        <v>53242.6</v>
      </c>
      <c r="D28" s="120">
        <v>0</v>
      </c>
      <c r="E28" s="121">
        <f t="shared" si="0"/>
        <v>0</v>
      </c>
      <c r="F28" s="122"/>
      <c r="G28" s="123">
        <f>IF(E28&lt;=1.05,1,0)</f>
        <v>1</v>
      </c>
      <c r="H28" s="124">
        <f t="shared" si="1"/>
        <v>1</v>
      </c>
      <c r="I28" s="125">
        <v>0</v>
      </c>
      <c r="J28" s="125">
        <v>524670.1</v>
      </c>
      <c r="K28" s="126">
        <v>303139.59999999998</v>
      </c>
      <c r="L28" s="125">
        <v>134202.4</v>
      </c>
      <c r="M28" s="120">
        <v>0</v>
      </c>
      <c r="N28" s="121">
        <f>(I28)/(J28-K28-L28)</f>
        <v>0</v>
      </c>
      <c r="O28" s="122"/>
      <c r="P28" s="123">
        <f>IF(N28&lt;=0.5,1,0)</f>
        <v>1</v>
      </c>
      <c r="Q28" s="124">
        <f t="shared" si="3"/>
        <v>1</v>
      </c>
      <c r="R28" s="127">
        <v>0</v>
      </c>
      <c r="S28" s="120">
        <v>577912.69999999995</v>
      </c>
      <c r="T28" s="128">
        <v>190771.95600000001</v>
      </c>
      <c r="U28" s="121">
        <f t="shared" si="4"/>
        <v>0</v>
      </c>
      <c r="V28" s="122"/>
      <c r="W28" s="123">
        <f>IF(U28&lt;=0.15,1,0)</f>
        <v>1</v>
      </c>
      <c r="X28" s="124">
        <f t="shared" si="6"/>
        <v>1</v>
      </c>
      <c r="Y28" s="120">
        <f t="shared" si="7"/>
        <v>53242.6</v>
      </c>
      <c r="Z28" s="129"/>
      <c r="AA28" s="129">
        <f>C28</f>
        <v>53242.6</v>
      </c>
      <c r="AB28" s="129"/>
      <c r="AC28" s="129">
        <f t="shared" si="44"/>
        <v>524670.1</v>
      </c>
      <c r="AD28" s="129">
        <f t="shared" si="44"/>
        <v>303139.59999999998</v>
      </c>
      <c r="AE28" s="129">
        <f t="shared" si="44"/>
        <v>134202.4</v>
      </c>
      <c r="AF28" s="129">
        <f t="shared" si="9"/>
        <v>87328.1</v>
      </c>
      <c r="AG28" s="129">
        <f>AF28*10%</f>
        <v>8732.8100000000013</v>
      </c>
      <c r="AH28" s="129">
        <f t="shared" si="39"/>
        <v>61975.41</v>
      </c>
      <c r="AI28" s="130">
        <f t="shared" si="12"/>
        <v>0</v>
      </c>
      <c r="AJ28" s="131"/>
      <c r="AK28" s="132">
        <f>IF(AI28&lt;=0.05,1.5,0)</f>
        <v>1.5</v>
      </c>
      <c r="AL28" s="124">
        <f t="shared" si="13"/>
        <v>1.5</v>
      </c>
      <c r="AM28" s="133"/>
      <c r="AN28" s="123"/>
      <c r="AO28" s="134" t="e">
        <f t="shared" si="14"/>
        <v>#DIV/0!</v>
      </c>
      <c r="AP28" s="122" t="e">
        <f>IF(AO28&lt;=1,1,0)</f>
        <v>#DIV/0!</v>
      </c>
      <c r="AQ28" s="132"/>
      <c r="AR28" s="135" t="e">
        <f>AP28+AQ28</f>
        <v>#DIV/0!</v>
      </c>
      <c r="AS28" s="133"/>
      <c r="AT28" s="123"/>
      <c r="AU28" s="134" t="e">
        <f t="shared" si="16"/>
        <v>#DIV/0!</v>
      </c>
      <c r="AV28" s="122" t="e">
        <f>IF(AU28&lt;=1,1,0)</f>
        <v>#DIV/0!</v>
      </c>
      <c r="AW28" s="132"/>
      <c r="AX28" s="135" t="e">
        <f t="shared" si="17"/>
        <v>#DIV/0!</v>
      </c>
      <c r="AY28" s="98"/>
      <c r="AZ28" s="99"/>
      <c r="BA28" s="91">
        <f t="shared" si="18"/>
        <v>0</v>
      </c>
      <c r="BB28" s="100">
        <f>H28+Q28+X28+AL28+BA28</f>
        <v>4.5</v>
      </c>
      <c r="BC28" s="101">
        <v>449427.12</v>
      </c>
      <c r="BD28" s="102">
        <v>43739.487999999998</v>
      </c>
      <c r="BE28" s="9"/>
      <c r="BF28" s="103">
        <f t="shared" si="19"/>
        <v>0.73845886367071278</v>
      </c>
      <c r="BG28" s="9">
        <f t="shared" si="28"/>
        <v>0</v>
      </c>
      <c r="BH28" s="104">
        <f t="shared" si="29"/>
        <v>0</v>
      </c>
      <c r="BI28" s="104">
        <f t="shared" si="30"/>
        <v>0</v>
      </c>
      <c r="BJ28" s="104">
        <f t="shared" si="31"/>
        <v>1</v>
      </c>
      <c r="BK28" s="9">
        <f t="shared" si="32"/>
        <v>0</v>
      </c>
      <c r="BM28" s="103">
        <f t="shared" si="20"/>
        <v>0.53292266278664902</v>
      </c>
      <c r="BN28" s="9">
        <f t="shared" si="33"/>
        <v>0</v>
      </c>
      <c r="BO28" s="104">
        <f t="shared" si="34"/>
        <v>0</v>
      </c>
      <c r="BP28" s="104">
        <f t="shared" si="35"/>
        <v>0</v>
      </c>
      <c r="BQ28" s="104">
        <f t="shared" si="36"/>
        <v>1</v>
      </c>
      <c r="BR28" s="9">
        <f t="shared" si="37"/>
        <v>0</v>
      </c>
      <c r="BS28" s="103">
        <f t="shared" si="38"/>
        <v>0.8565899219338019</v>
      </c>
    </row>
    <row r="29" spans="1:71" s="8" customFormat="1" ht="13" x14ac:dyDescent="0.3">
      <c r="A29" s="139" t="s">
        <v>96</v>
      </c>
      <c r="B29" s="120">
        <v>0</v>
      </c>
      <c r="C29" s="120">
        <v>9350.9</v>
      </c>
      <c r="D29" s="120">
        <v>0</v>
      </c>
      <c r="E29" s="121">
        <f t="shared" si="0"/>
        <v>0</v>
      </c>
      <c r="F29" s="122"/>
      <c r="G29" s="123">
        <f>IF(E29&lt;=1.05,1,0)</f>
        <v>1</v>
      </c>
      <c r="H29" s="124">
        <f t="shared" si="1"/>
        <v>1</v>
      </c>
      <c r="I29" s="125">
        <v>0</v>
      </c>
      <c r="J29" s="125">
        <v>402015</v>
      </c>
      <c r="K29" s="126">
        <v>299579</v>
      </c>
      <c r="L29" s="125">
        <v>73187.899999999994</v>
      </c>
      <c r="M29" s="120">
        <v>0</v>
      </c>
      <c r="N29" s="121">
        <f>(I29)/(J29-K29-L29)</f>
        <v>0</v>
      </c>
      <c r="O29" s="122"/>
      <c r="P29" s="123">
        <f>IF(N29&lt;=0.5,1,0)</f>
        <v>1</v>
      </c>
      <c r="Q29" s="124">
        <f t="shared" si="3"/>
        <v>1</v>
      </c>
      <c r="R29" s="127">
        <v>0</v>
      </c>
      <c r="S29" s="120">
        <v>411365.9</v>
      </c>
      <c r="T29" s="128">
        <v>192120.77499999999</v>
      </c>
      <c r="U29" s="121">
        <f t="shared" si="4"/>
        <v>0</v>
      </c>
      <c r="V29" s="122"/>
      <c r="W29" s="123">
        <f>IF(U29&lt;=0.15,1,0)</f>
        <v>1</v>
      </c>
      <c r="X29" s="124">
        <f t="shared" si="6"/>
        <v>1</v>
      </c>
      <c r="Y29" s="120">
        <f t="shared" si="7"/>
        <v>9350.9</v>
      </c>
      <c r="Z29" s="129"/>
      <c r="AA29" s="129">
        <f t="shared" si="23"/>
        <v>9350.9</v>
      </c>
      <c r="AB29" s="129"/>
      <c r="AC29" s="129">
        <f t="shared" si="44"/>
        <v>402015</v>
      </c>
      <c r="AD29" s="129">
        <f t="shared" si="44"/>
        <v>299579</v>
      </c>
      <c r="AE29" s="129">
        <f t="shared" si="44"/>
        <v>73187.899999999994</v>
      </c>
      <c r="AF29" s="129">
        <f t="shared" si="9"/>
        <v>29248.100000000006</v>
      </c>
      <c r="AG29" s="129">
        <f>AF29*10%</f>
        <v>2924.8100000000009</v>
      </c>
      <c r="AH29" s="129">
        <f t="shared" si="39"/>
        <v>12275.710000000001</v>
      </c>
      <c r="AI29" s="130">
        <f t="shared" si="12"/>
        <v>0</v>
      </c>
      <c r="AJ29" s="131"/>
      <c r="AK29" s="132">
        <f>IF(AI29&lt;=0.05,1.5,0)</f>
        <v>1.5</v>
      </c>
      <c r="AL29" s="124">
        <f t="shared" si="13"/>
        <v>1.5</v>
      </c>
      <c r="AM29" s="133"/>
      <c r="AN29" s="123"/>
      <c r="AO29" s="134" t="e">
        <f t="shared" si="14"/>
        <v>#DIV/0!</v>
      </c>
      <c r="AP29" s="122" t="e">
        <f>IF(AO29&lt;=1,1,0)</f>
        <v>#DIV/0!</v>
      </c>
      <c r="AQ29" s="132"/>
      <c r="AR29" s="135" t="e">
        <f t="shared" si="15"/>
        <v>#DIV/0!</v>
      </c>
      <c r="AS29" s="133"/>
      <c r="AT29" s="123"/>
      <c r="AU29" s="134" t="e">
        <f t="shared" si="16"/>
        <v>#DIV/0!</v>
      </c>
      <c r="AV29" s="122" t="e">
        <f>IF(AU29&lt;=1,1,0)</f>
        <v>#DIV/0!</v>
      </c>
      <c r="AW29" s="132"/>
      <c r="AX29" s="135" t="e">
        <f t="shared" si="17"/>
        <v>#DIV/0!</v>
      </c>
      <c r="AY29" s="98"/>
      <c r="AZ29" s="99"/>
      <c r="BA29" s="91">
        <f t="shared" si="18"/>
        <v>0</v>
      </c>
      <c r="BB29" s="100">
        <f>H29+Q29+X29+AL29+BA29</f>
        <v>4.5</v>
      </c>
      <c r="BC29" s="101">
        <v>414596.4</v>
      </c>
      <c r="BD29" s="102">
        <v>50833.507740000001</v>
      </c>
      <c r="BE29" s="9"/>
      <c r="BF29" s="103">
        <f t="shared" si="19"/>
        <v>0.86065314564991025</v>
      </c>
      <c r="BG29" s="9">
        <f t="shared" si="28"/>
        <v>0</v>
      </c>
      <c r="BH29" s="104">
        <f t="shared" si="29"/>
        <v>0</v>
      </c>
      <c r="BI29" s="104">
        <f t="shared" si="30"/>
        <v>0</v>
      </c>
      <c r="BJ29" s="104">
        <f t="shared" si="31"/>
        <v>1</v>
      </c>
      <c r="BK29" s="9">
        <f t="shared" si="32"/>
        <v>0</v>
      </c>
      <c r="BM29" s="103">
        <f t="shared" si="20"/>
        <v>0.59087575058341879</v>
      </c>
      <c r="BN29" s="9">
        <f t="shared" si="33"/>
        <v>0</v>
      </c>
      <c r="BO29" s="104">
        <f t="shared" si="34"/>
        <v>0</v>
      </c>
      <c r="BP29" s="104">
        <f t="shared" si="35"/>
        <v>0</v>
      </c>
      <c r="BQ29" s="104">
        <f t="shared" si="36"/>
        <v>1</v>
      </c>
      <c r="BR29" s="9">
        <f t="shared" si="37"/>
        <v>0</v>
      </c>
      <c r="BS29" s="103">
        <f t="shared" si="38"/>
        <v>1.0312958471698819</v>
      </c>
    </row>
    <row r="30" spans="1:71" s="8" customFormat="1" ht="13" x14ac:dyDescent="0.3">
      <c r="A30" s="119" t="s">
        <v>97</v>
      </c>
      <c r="B30" s="120">
        <v>0</v>
      </c>
      <c r="C30" s="120">
        <v>11796.2</v>
      </c>
      <c r="D30" s="120">
        <v>0</v>
      </c>
      <c r="E30" s="121">
        <f t="shared" si="0"/>
        <v>0</v>
      </c>
      <c r="F30" s="122"/>
      <c r="G30" s="123">
        <f>IF(E30&lt;=1.05,1,0)</f>
        <v>1</v>
      </c>
      <c r="H30" s="124">
        <f t="shared" si="1"/>
        <v>1</v>
      </c>
      <c r="I30" s="125">
        <v>0</v>
      </c>
      <c r="J30" s="125">
        <v>552333.6</v>
      </c>
      <c r="K30" s="126">
        <v>381118.1</v>
      </c>
      <c r="L30" s="125">
        <v>124293.4</v>
      </c>
      <c r="M30" s="120">
        <v>0</v>
      </c>
      <c r="N30" s="121">
        <f t="shared" si="22"/>
        <v>0</v>
      </c>
      <c r="O30" s="122"/>
      <c r="P30" s="123">
        <f>IF(N30&lt;=0.5,1,0)</f>
        <v>1</v>
      </c>
      <c r="Q30" s="124">
        <f t="shared" si="3"/>
        <v>1</v>
      </c>
      <c r="R30" s="127">
        <v>0</v>
      </c>
      <c r="S30" s="120">
        <v>564129.80000000005</v>
      </c>
      <c r="T30" s="128">
        <v>238436.851</v>
      </c>
      <c r="U30" s="121">
        <f t="shared" si="4"/>
        <v>0</v>
      </c>
      <c r="V30" s="122"/>
      <c r="W30" s="123">
        <f>IF(U30&lt;=0.15,1,0)</f>
        <v>1</v>
      </c>
      <c r="X30" s="124">
        <f t="shared" si="6"/>
        <v>1</v>
      </c>
      <c r="Y30" s="120">
        <f t="shared" si="7"/>
        <v>11796.2</v>
      </c>
      <c r="Z30" s="129"/>
      <c r="AA30" s="129">
        <f t="shared" si="23"/>
        <v>11796.2</v>
      </c>
      <c r="AB30" s="129"/>
      <c r="AC30" s="129">
        <f>J30</f>
        <v>552333.6</v>
      </c>
      <c r="AD30" s="129">
        <f>K30</f>
        <v>381118.1</v>
      </c>
      <c r="AE30" s="129">
        <f>L30</f>
        <v>124293.4</v>
      </c>
      <c r="AF30" s="129">
        <f t="shared" si="9"/>
        <v>46922.100000000006</v>
      </c>
      <c r="AG30" s="129">
        <f>AF30*5%</f>
        <v>2346.1050000000005</v>
      </c>
      <c r="AH30" s="129">
        <f t="shared" si="39"/>
        <v>14142.305</v>
      </c>
      <c r="AI30" s="130">
        <f t="shared" si="12"/>
        <v>0</v>
      </c>
      <c r="AJ30" s="122"/>
      <c r="AK30" s="132">
        <f>IF(AI30&lt;=0.05,1.5,0)</f>
        <v>1.5</v>
      </c>
      <c r="AL30" s="124">
        <f t="shared" si="13"/>
        <v>1.5</v>
      </c>
      <c r="AM30" s="133"/>
      <c r="AN30" s="123"/>
      <c r="AO30" s="134" t="e">
        <f t="shared" si="14"/>
        <v>#DIV/0!</v>
      </c>
      <c r="AP30" s="122"/>
      <c r="AQ30" s="132" t="e">
        <f>IF(AO30&lt;=1,1,0)</f>
        <v>#DIV/0!</v>
      </c>
      <c r="AR30" s="135" t="e">
        <f t="shared" si="15"/>
        <v>#DIV/0!</v>
      </c>
      <c r="AS30" s="133"/>
      <c r="AT30" s="123"/>
      <c r="AU30" s="134" t="e">
        <f t="shared" si="16"/>
        <v>#DIV/0!</v>
      </c>
      <c r="AV30" s="122"/>
      <c r="AW30" s="132" t="e">
        <f>IF(AU30&lt;=1,1,0)</f>
        <v>#DIV/0!</v>
      </c>
      <c r="AX30" s="135" t="e">
        <f t="shared" si="17"/>
        <v>#DIV/0!</v>
      </c>
      <c r="AY30" s="98"/>
      <c r="AZ30" s="99"/>
      <c r="BA30" s="91">
        <f t="shared" si="18"/>
        <v>0</v>
      </c>
      <c r="BB30" s="100">
        <f t="shared" si="27"/>
        <v>4.5</v>
      </c>
      <c r="BC30" s="101">
        <v>435611.36</v>
      </c>
      <c r="BD30" s="102">
        <v>44476.896000000001</v>
      </c>
      <c r="BE30" s="9"/>
      <c r="BF30" s="103">
        <f t="shared" si="19"/>
        <v>0.85051740691968747</v>
      </c>
      <c r="BG30" s="9">
        <f t="shared" si="28"/>
        <v>0</v>
      </c>
      <c r="BH30" s="104">
        <f t="shared" si="29"/>
        <v>0</v>
      </c>
      <c r="BI30" s="104">
        <f t="shared" si="30"/>
        <v>0</v>
      </c>
      <c r="BJ30" s="104">
        <f t="shared" si="31"/>
        <v>1</v>
      </c>
      <c r="BK30" s="9">
        <f t="shared" si="32"/>
        <v>0</v>
      </c>
      <c r="BM30" s="103">
        <f t="shared" si="20"/>
        <v>0.53766181566920279</v>
      </c>
      <c r="BN30" s="9">
        <f t="shared" si="33"/>
        <v>0</v>
      </c>
      <c r="BO30" s="104">
        <f t="shared" si="34"/>
        <v>0</v>
      </c>
      <c r="BP30" s="104">
        <f t="shared" si="35"/>
        <v>0</v>
      </c>
      <c r="BQ30" s="104">
        <f t="shared" si="36"/>
        <v>1</v>
      </c>
      <c r="BR30" s="9">
        <f t="shared" si="37"/>
        <v>0</v>
      </c>
      <c r="BS30" s="103">
        <f t="shared" si="38"/>
        <v>0.78867438084519936</v>
      </c>
    </row>
    <row r="31" spans="1:71" s="8" customFormat="1" ht="13" x14ac:dyDescent="0.3">
      <c r="A31" s="119" t="s">
        <v>98</v>
      </c>
      <c r="B31" s="120">
        <v>0</v>
      </c>
      <c r="C31" s="120">
        <v>87867.8</v>
      </c>
      <c r="D31" s="120">
        <v>0</v>
      </c>
      <c r="E31" s="121">
        <f t="shared" si="0"/>
        <v>0</v>
      </c>
      <c r="F31" s="122"/>
      <c r="G31" s="123">
        <f>IF(E31&lt;=1.05,1,0)</f>
        <v>1</v>
      </c>
      <c r="H31" s="124">
        <f t="shared" si="1"/>
        <v>1</v>
      </c>
      <c r="I31" s="125">
        <v>0</v>
      </c>
      <c r="J31" s="125">
        <v>1060973.8</v>
      </c>
      <c r="K31" s="126">
        <v>804435.5</v>
      </c>
      <c r="L31" s="125">
        <v>181354.5</v>
      </c>
      <c r="M31" s="120">
        <v>0</v>
      </c>
      <c r="N31" s="121">
        <f>(I31)/(J31-K31-L31)</f>
        <v>0</v>
      </c>
      <c r="O31" s="122"/>
      <c r="P31" s="123">
        <f>IF(N31&lt;=0.5,1,0)</f>
        <v>1</v>
      </c>
      <c r="Q31" s="124">
        <f t="shared" si="3"/>
        <v>1</v>
      </c>
      <c r="R31" s="127">
        <v>0</v>
      </c>
      <c r="S31" s="120">
        <v>1148841.6000000001</v>
      </c>
      <c r="T31" s="128">
        <v>482589.78399999999</v>
      </c>
      <c r="U31" s="121">
        <f t="shared" si="4"/>
        <v>0</v>
      </c>
      <c r="V31" s="122"/>
      <c r="W31" s="123">
        <f>IF(U31&lt;=0.15,1,0)</f>
        <v>1</v>
      </c>
      <c r="X31" s="124">
        <f t="shared" si="6"/>
        <v>1</v>
      </c>
      <c r="Y31" s="120">
        <f t="shared" si="7"/>
        <v>87867.8</v>
      </c>
      <c r="Z31" s="129"/>
      <c r="AA31" s="129">
        <f>C31</f>
        <v>87867.8</v>
      </c>
      <c r="AB31" s="129"/>
      <c r="AC31" s="129">
        <f t="shared" ref="AC31:AE40" si="45">J31</f>
        <v>1060973.8</v>
      </c>
      <c r="AD31" s="129">
        <f t="shared" si="45"/>
        <v>804435.5</v>
      </c>
      <c r="AE31" s="129">
        <f t="shared" si="45"/>
        <v>181354.5</v>
      </c>
      <c r="AF31" s="129">
        <f t="shared" si="9"/>
        <v>75183.800000000047</v>
      </c>
      <c r="AG31" s="129">
        <f>AF31*5%</f>
        <v>3759.1900000000023</v>
      </c>
      <c r="AH31" s="129">
        <f t="shared" si="39"/>
        <v>91626.99</v>
      </c>
      <c r="AI31" s="130">
        <f t="shared" si="12"/>
        <v>0</v>
      </c>
      <c r="AJ31" s="131"/>
      <c r="AK31" s="132">
        <f>IF(AI31&lt;=0.05,1.5,0)</f>
        <v>1.5</v>
      </c>
      <c r="AL31" s="124">
        <f t="shared" si="13"/>
        <v>1.5</v>
      </c>
      <c r="AM31" s="133"/>
      <c r="AN31" s="123"/>
      <c r="AO31" s="134" t="e">
        <f t="shared" si="14"/>
        <v>#DIV/0!</v>
      </c>
      <c r="AP31" s="131"/>
      <c r="AQ31" s="132" t="e">
        <f>IF(AO31&lt;=1,1,0)</f>
        <v>#DIV/0!</v>
      </c>
      <c r="AR31" s="135" t="e">
        <f>AP31+AQ31</f>
        <v>#DIV/0!</v>
      </c>
      <c r="AS31" s="133"/>
      <c r="AT31" s="123"/>
      <c r="AU31" s="134" t="e">
        <f t="shared" si="16"/>
        <v>#DIV/0!</v>
      </c>
      <c r="AV31" s="131"/>
      <c r="AW31" s="132" t="e">
        <f>IF(AU31&lt;=1,1,0)</f>
        <v>#DIV/0!</v>
      </c>
      <c r="AX31" s="135" t="e">
        <f t="shared" si="17"/>
        <v>#DIV/0!</v>
      </c>
      <c r="AY31" s="98"/>
      <c r="AZ31" s="99"/>
      <c r="BA31" s="91">
        <f t="shared" si="18"/>
        <v>0</v>
      </c>
      <c r="BB31" s="100">
        <f>H31+Q31+X31+AL31+BA31</f>
        <v>4.5</v>
      </c>
      <c r="BC31" s="101">
        <v>646628</v>
      </c>
      <c r="BD31" s="102">
        <v>32919.396999999997</v>
      </c>
      <c r="BE31" s="9"/>
      <c r="BF31" s="103">
        <f t="shared" si="19"/>
        <v>0.87001058480149973</v>
      </c>
      <c r="BG31" s="9">
        <f t="shared" si="28"/>
        <v>0</v>
      </c>
      <c r="BH31" s="104">
        <f t="shared" si="29"/>
        <v>0</v>
      </c>
      <c r="BI31" s="104">
        <f t="shared" si="30"/>
        <v>0</v>
      </c>
      <c r="BJ31" s="104">
        <f t="shared" si="31"/>
        <v>1</v>
      </c>
      <c r="BK31" s="9">
        <f t="shared" si="32"/>
        <v>0</v>
      </c>
      <c r="BM31" s="103">
        <f t="shared" si="20"/>
        <v>0.37046994915571796</v>
      </c>
      <c r="BN31" s="9">
        <f t="shared" si="33"/>
        <v>0</v>
      </c>
      <c r="BO31" s="104">
        <f t="shared" si="34"/>
        <v>0</v>
      </c>
      <c r="BP31" s="104">
        <f t="shared" si="35"/>
        <v>1</v>
      </c>
      <c r="BQ31" s="104">
        <f t="shared" si="36"/>
        <v>0</v>
      </c>
      <c r="BR31" s="9">
        <f t="shared" si="37"/>
        <v>0</v>
      </c>
      <c r="BS31" s="103">
        <f t="shared" si="38"/>
        <v>0.60946651086011738</v>
      </c>
    </row>
    <row r="32" spans="1:71" s="8" customFormat="1" ht="13" x14ac:dyDescent="0.3">
      <c r="A32" s="109" t="s">
        <v>99</v>
      </c>
      <c r="B32" s="76">
        <v>0</v>
      </c>
      <c r="C32" s="76">
        <v>29017.3</v>
      </c>
      <c r="D32" s="76">
        <v>0</v>
      </c>
      <c r="E32" s="84">
        <f t="shared" si="0"/>
        <v>0</v>
      </c>
      <c r="F32" s="78">
        <f>IF(E32&lt;=1.05,1,0)</f>
        <v>1</v>
      </c>
      <c r="G32" s="92"/>
      <c r="H32" s="93">
        <f t="shared" si="1"/>
        <v>1</v>
      </c>
      <c r="I32" s="81">
        <v>0</v>
      </c>
      <c r="J32" s="81">
        <v>1046861.5</v>
      </c>
      <c r="K32" s="82">
        <v>686980.5</v>
      </c>
      <c r="L32" s="81">
        <v>265355.90000000002</v>
      </c>
      <c r="M32" s="76">
        <v>0</v>
      </c>
      <c r="N32" s="84">
        <f>(I32)/(J32-K32-L32)</f>
        <v>0</v>
      </c>
      <c r="O32" s="78">
        <f>IF(N32&lt;=1,1,0)</f>
        <v>1</v>
      </c>
      <c r="P32" s="92"/>
      <c r="Q32" s="93">
        <f t="shared" si="3"/>
        <v>1</v>
      </c>
      <c r="R32" s="107">
        <v>0</v>
      </c>
      <c r="S32" s="76">
        <v>1081491.6000000001</v>
      </c>
      <c r="T32" s="86">
        <v>486383.68199999997</v>
      </c>
      <c r="U32" s="84">
        <f t="shared" si="4"/>
        <v>0</v>
      </c>
      <c r="V32" s="78">
        <f>IF(U32&lt;=0.15,1,0)</f>
        <v>1</v>
      </c>
      <c r="W32" s="92"/>
      <c r="X32" s="93">
        <f t="shared" si="6"/>
        <v>1</v>
      </c>
      <c r="Y32" s="76">
        <f t="shared" si="7"/>
        <v>29017.3</v>
      </c>
      <c r="Z32" s="88"/>
      <c r="AA32" s="88">
        <f>C32</f>
        <v>29017.3</v>
      </c>
      <c r="AB32" s="88"/>
      <c r="AC32" s="88">
        <f t="shared" si="45"/>
        <v>1046861.5</v>
      </c>
      <c r="AD32" s="88">
        <f t="shared" si="45"/>
        <v>686980.5</v>
      </c>
      <c r="AE32" s="88">
        <f t="shared" si="45"/>
        <v>265355.90000000002</v>
      </c>
      <c r="AF32" s="88">
        <f t="shared" si="9"/>
        <v>94525.099999999977</v>
      </c>
      <c r="AG32" s="89">
        <f>AF32*10%</f>
        <v>9452.5099999999984</v>
      </c>
      <c r="AH32" s="88">
        <f t="shared" si="39"/>
        <v>38469.81</v>
      </c>
      <c r="AI32" s="110">
        <f t="shared" si="12"/>
        <v>0</v>
      </c>
      <c r="AJ32" s="91">
        <f>IF(AI32&lt;=0.1,1.5,0)</f>
        <v>1.5</v>
      </c>
      <c r="AK32" s="92"/>
      <c r="AL32" s="93">
        <f t="shared" si="13"/>
        <v>1.5</v>
      </c>
      <c r="AM32" s="94"/>
      <c r="AN32" s="92"/>
      <c r="AO32" s="108" t="e">
        <f t="shared" si="14"/>
        <v>#DIV/0!</v>
      </c>
      <c r="AP32" s="96" t="e">
        <f>IF(AO32&lt;=1,1,0)</f>
        <v>#DIV/0!</v>
      </c>
      <c r="AQ32" s="92"/>
      <c r="AR32" s="112" t="e">
        <f>AP32+AQ32</f>
        <v>#DIV/0!</v>
      </c>
      <c r="AS32" s="94"/>
      <c r="AT32" s="92"/>
      <c r="AU32" s="108" t="e">
        <f t="shared" si="16"/>
        <v>#DIV/0!</v>
      </c>
      <c r="AV32" s="96" t="e">
        <f>IF(AU32&lt;=1,1,0)</f>
        <v>#DIV/0!</v>
      </c>
      <c r="AW32" s="92"/>
      <c r="AX32" s="112" t="e">
        <f t="shared" si="17"/>
        <v>#DIV/0!</v>
      </c>
      <c r="AY32" s="98"/>
      <c r="AZ32" s="99"/>
      <c r="BA32" s="91">
        <f t="shared" si="18"/>
        <v>0</v>
      </c>
      <c r="BB32" s="100">
        <f>H32+Q32+X32+AL32+BA32</f>
        <v>4.5</v>
      </c>
      <c r="BC32" s="101">
        <v>736385.92</v>
      </c>
      <c r="BD32" s="102">
        <v>65081.662590000007</v>
      </c>
      <c r="BE32" s="9"/>
      <c r="BF32" s="103">
        <f t="shared" si="19"/>
        <v>0.83134907936713398</v>
      </c>
      <c r="BG32" s="9">
        <f t="shared" si="28"/>
        <v>0</v>
      </c>
      <c r="BH32" s="104">
        <f t="shared" si="29"/>
        <v>0</v>
      </c>
      <c r="BI32" s="104">
        <f t="shared" si="30"/>
        <v>0</v>
      </c>
      <c r="BJ32" s="104">
        <f t="shared" si="31"/>
        <v>1</v>
      </c>
      <c r="BK32" s="9">
        <f t="shared" si="32"/>
        <v>0</v>
      </c>
      <c r="BM32" s="103">
        <f t="shared" si="20"/>
        <v>0.58956403264830026</v>
      </c>
      <c r="BN32" s="9">
        <f t="shared" si="33"/>
        <v>0</v>
      </c>
      <c r="BO32" s="104">
        <f t="shared" si="34"/>
        <v>0</v>
      </c>
      <c r="BP32" s="104">
        <f t="shared" si="35"/>
        <v>0</v>
      </c>
      <c r="BQ32" s="104">
        <f t="shared" si="36"/>
        <v>1</v>
      </c>
      <c r="BR32" s="9">
        <f t="shared" si="37"/>
        <v>0</v>
      </c>
      <c r="BS32" s="103">
        <f t="shared" si="38"/>
        <v>0.70342248711983391</v>
      </c>
    </row>
    <row r="33" spans="1:71" s="8" customFormat="1" ht="13" x14ac:dyDescent="0.3">
      <c r="A33" s="109" t="s">
        <v>100</v>
      </c>
      <c r="B33" s="76">
        <v>0</v>
      </c>
      <c r="C33" s="76">
        <v>61641.4</v>
      </c>
      <c r="D33" s="76">
        <v>0</v>
      </c>
      <c r="E33" s="84">
        <f t="shared" si="0"/>
        <v>0</v>
      </c>
      <c r="F33" s="78">
        <f>IF(E33&lt;=1.05,1,0)</f>
        <v>1</v>
      </c>
      <c r="G33" s="92"/>
      <c r="H33" s="93">
        <f t="shared" si="1"/>
        <v>1</v>
      </c>
      <c r="I33" s="81">
        <v>0</v>
      </c>
      <c r="J33" s="81">
        <v>1600903.6</v>
      </c>
      <c r="K33" s="82">
        <v>1220965</v>
      </c>
      <c r="L33" s="81">
        <v>244622.8</v>
      </c>
      <c r="M33" s="76">
        <v>0</v>
      </c>
      <c r="N33" s="84">
        <f>(I33)/(J33-K33-L33)</f>
        <v>0</v>
      </c>
      <c r="O33" s="78">
        <f>IF(N33&lt;=1,1,0)</f>
        <v>1</v>
      </c>
      <c r="P33" s="92"/>
      <c r="Q33" s="93">
        <f t="shared" si="3"/>
        <v>1</v>
      </c>
      <c r="R33" s="107">
        <v>0</v>
      </c>
      <c r="S33" s="76">
        <v>1662545</v>
      </c>
      <c r="T33" s="86">
        <v>720905.69499999995</v>
      </c>
      <c r="U33" s="84">
        <f t="shared" si="4"/>
        <v>0</v>
      </c>
      <c r="V33" s="78">
        <f>IF(U33&lt;=0.15,1,0)</f>
        <v>1</v>
      </c>
      <c r="W33" s="92"/>
      <c r="X33" s="93">
        <f t="shared" si="6"/>
        <v>1</v>
      </c>
      <c r="Y33" s="76">
        <f t="shared" si="7"/>
        <v>61641.4</v>
      </c>
      <c r="Z33" s="88"/>
      <c r="AA33" s="88">
        <f t="shared" si="23"/>
        <v>61641.4</v>
      </c>
      <c r="AB33" s="88"/>
      <c r="AC33" s="88">
        <f t="shared" si="45"/>
        <v>1600903.6</v>
      </c>
      <c r="AD33" s="88">
        <f t="shared" si="45"/>
        <v>1220965</v>
      </c>
      <c r="AE33" s="88">
        <f t="shared" si="45"/>
        <v>244622.8</v>
      </c>
      <c r="AF33" s="88">
        <f t="shared" si="9"/>
        <v>135315.8000000001</v>
      </c>
      <c r="AG33" s="89">
        <f>AF33*10%</f>
        <v>13531.580000000011</v>
      </c>
      <c r="AH33" s="88">
        <f t="shared" si="39"/>
        <v>75172.98000000001</v>
      </c>
      <c r="AI33" s="110">
        <f t="shared" si="12"/>
        <v>0</v>
      </c>
      <c r="AJ33" s="91">
        <f>IF(AI33&lt;=0.1,1.5,0)</f>
        <v>1.5</v>
      </c>
      <c r="AK33" s="92"/>
      <c r="AL33" s="93">
        <f t="shared" si="13"/>
        <v>1.5</v>
      </c>
      <c r="AM33" s="94"/>
      <c r="AN33" s="92"/>
      <c r="AO33" s="108" t="e">
        <f t="shared" si="14"/>
        <v>#DIV/0!</v>
      </c>
      <c r="AP33" s="96" t="e">
        <f>IF(AO33&lt;=1,1,0)</f>
        <v>#DIV/0!</v>
      </c>
      <c r="AQ33" s="92"/>
      <c r="AR33" s="112" t="e">
        <f t="shared" si="15"/>
        <v>#DIV/0!</v>
      </c>
      <c r="AS33" s="94"/>
      <c r="AT33" s="92"/>
      <c r="AU33" s="108" t="e">
        <f t="shared" si="16"/>
        <v>#DIV/0!</v>
      </c>
      <c r="AV33" s="96" t="e">
        <f>IF(AU33&lt;=1,1,0)</f>
        <v>#DIV/0!</v>
      </c>
      <c r="AW33" s="92"/>
      <c r="AX33" s="112" t="e">
        <f t="shared" si="17"/>
        <v>#DIV/0!</v>
      </c>
      <c r="AY33" s="98"/>
      <c r="AZ33" s="99"/>
      <c r="BA33" s="91">
        <f t="shared" si="18"/>
        <v>0</v>
      </c>
      <c r="BB33" s="100">
        <f t="shared" si="27"/>
        <v>4.5</v>
      </c>
      <c r="BC33" s="101">
        <v>1081382.75</v>
      </c>
      <c r="BD33" s="102">
        <v>83110.524000000005</v>
      </c>
      <c r="BE33" s="9"/>
      <c r="BF33" s="103">
        <f t="shared" si="19"/>
        <v>0.84623167938110033</v>
      </c>
      <c r="BG33" s="9">
        <f t="shared" si="28"/>
        <v>0</v>
      </c>
      <c r="BH33" s="104">
        <f t="shared" si="29"/>
        <v>0</v>
      </c>
      <c r="BI33" s="104">
        <f t="shared" si="30"/>
        <v>0</v>
      </c>
      <c r="BJ33" s="104">
        <f t="shared" si="31"/>
        <v>1</v>
      </c>
      <c r="BK33" s="9">
        <f t="shared" si="32"/>
        <v>0</v>
      </c>
      <c r="BM33" s="103">
        <f t="shared" si="20"/>
        <v>0.37242511844388987</v>
      </c>
      <c r="BN33" s="9">
        <f t="shared" si="33"/>
        <v>0</v>
      </c>
      <c r="BO33" s="104">
        <f t="shared" si="34"/>
        <v>0</v>
      </c>
      <c r="BP33" s="104">
        <f t="shared" si="35"/>
        <v>1</v>
      </c>
      <c r="BQ33" s="104">
        <f t="shared" si="36"/>
        <v>0</v>
      </c>
      <c r="BR33" s="9">
        <f t="shared" si="37"/>
        <v>0</v>
      </c>
      <c r="BS33" s="118">
        <f t="shared" si="38"/>
        <v>0.67548273987265683</v>
      </c>
    </row>
    <row r="34" spans="1:71" s="8" customFormat="1" ht="13" x14ac:dyDescent="0.3">
      <c r="A34" s="119" t="s">
        <v>101</v>
      </c>
      <c r="B34" s="120">
        <v>0</v>
      </c>
      <c r="C34" s="120">
        <v>19007</v>
      </c>
      <c r="D34" s="120">
        <v>0</v>
      </c>
      <c r="E34" s="121">
        <f t="shared" si="0"/>
        <v>0</v>
      </c>
      <c r="F34" s="122"/>
      <c r="G34" s="123">
        <f>IF(E34&lt;=1.05,1,0)</f>
        <v>1</v>
      </c>
      <c r="H34" s="124">
        <f t="shared" si="1"/>
        <v>1</v>
      </c>
      <c r="I34" s="125">
        <v>0</v>
      </c>
      <c r="J34" s="125">
        <v>325866.3</v>
      </c>
      <c r="K34" s="126">
        <v>231260.7</v>
      </c>
      <c r="L34" s="125">
        <v>43820.2</v>
      </c>
      <c r="M34" s="120">
        <v>0</v>
      </c>
      <c r="N34" s="121">
        <f t="shared" si="22"/>
        <v>0</v>
      </c>
      <c r="O34" s="122"/>
      <c r="P34" s="123">
        <f>IF(N34&lt;=0.5,1,0)</f>
        <v>1</v>
      </c>
      <c r="Q34" s="124">
        <f t="shared" si="3"/>
        <v>1</v>
      </c>
      <c r="R34" s="127">
        <v>0</v>
      </c>
      <c r="S34" s="120">
        <v>344873.3</v>
      </c>
      <c r="T34" s="128">
        <v>159644.717</v>
      </c>
      <c r="U34" s="121">
        <f t="shared" si="4"/>
        <v>0</v>
      </c>
      <c r="V34" s="122"/>
      <c r="W34" s="123">
        <f>IF(U34&lt;=0.15,1,0)</f>
        <v>1</v>
      </c>
      <c r="X34" s="124">
        <f t="shared" si="6"/>
        <v>1</v>
      </c>
      <c r="Y34" s="120">
        <f t="shared" si="7"/>
        <v>19007</v>
      </c>
      <c r="Z34" s="129"/>
      <c r="AA34" s="129">
        <f t="shared" si="23"/>
        <v>19007</v>
      </c>
      <c r="AB34" s="129"/>
      <c r="AC34" s="129">
        <f t="shared" si="45"/>
        <v>325866.3</v>
      </c>
      <c r="AD34" s="129">
        <f t="shared" si="45"/>
        <v>231260.7</v>
      </c>
      <c r="AE34" s="129">
        <f t="shared" si="45"/>
        <v>43820.2</v>
      </c>
      <c r="AF34" s="129">
        <f t="shared" si="9"/>
        <v>50785.39999999998</v>
      </c>
      <c r="AG34" s="129">
        <f>AF34*5%</f>
        <v>2539.2699999999991</v>
      </c>
      <c r="AH34" s="129">
        <f t="shared" si="39"/>
        <v>21546.27</v>
      </c>
      <c r="AI34" s="130">
        <f t="shared" si="12"/>
        <v>0</v>
      </c>
      <c r="AJ34" s="131"/>
      <c r="AK34" s="132">
        <f>IF(AI34&lt;=0.05,1.5,0)</f>
        <v>1.5</v>
      </c>
      <c r="AL34" s="124">
        <f t="shared" si="13"/>
        <v>1.5</v>
      </c>
      <c r="AM34" s="133"/>
      <c r="AN34" s="123"/>
      <c r="AO34" s="134" t="e">
        <f t="shared" si="14"/>
        <v>#DIV/0!</v>
      </c>
      <c r="AP34" s="131"/>
      <c r="AQ34" s="132" t="e">
        <f>IF(AO34&lt;=1,1,0)</f>
        <v>#DIV/0!</v>
      </c>
      <c r="AR34" s="135" t="e">
        <f t="shared" si="15"/>
        <v>#DIV/0!</v>
      </c>
      <c r="AS34" s="133"/>
      <c r="AT34" s="123"/>
      <c r="AU34" s="134" t="e">
        <f t="shared" si="16"/>
        <v>#DIV/0!</v>
      </c>
      <c r="AV34" s="131"/>
      <c r="AW34" s="132" t="e">
        <f>IF(AU34&lt;=1,1,0)</f>
        <v>#DIV/0!</v>
      </c>
      <c r="AX34" s="135" t="e">
        <f t="shared" si="17"/>
        <v>#DIV/0!</v>
      </c>
      <c r="AY34" s="98"/>
      <c r="AZ34" s="99"/>
      <c r="BA34" s="91">
        <f t="shared" si="18"/>
        <v>0</v>
      </c>
      <c r="BB34" s="100">
        <f t="shared" si="27"/>
        <v>4.5</v>
      </c>
      <c r="BC34" s="101">
        <v>197211.78</v>
      </c>
      <c r="BD34" s="102">
        <v>14925.824000000001</v>
      </c>
      <c r="BE34" s="9"/>
      <c r="BF34" s="103">
        <f t="shared" si="19"/>
        <v>0.69447168602647724</v>
      </c>
      <c r="BG34" s="9">
        <f t="shared" si="28"/>
        <v>0</v>
      </c>
      <c r="BH34" s="104">
        <f t="shared" si="29"/>
        <v>0</v>
      </c>
      <c r="BI34" s="104">
        <f t="shared" si="30"/>
        <v>1</v>
      </c>
      <c r="BJ34" s="104">
        <f t="shared" si="31"/>
        <v>0</v>
      </c>
      <c r="BK34" s="9">
        <f t="shared" si="32"/>
        <v>0</v>
      </c>
      <c r="BM34" s="103">
        <f t="shared" si="20"/>
        <v>0.35341995269049992</v>
      </c>
      <c r="BN34" s="9">
        <f t="shared" si="33"/>
        <v>0</v>
      </c>
      <c r="BO34" s="104">
        <f t="shared" si="34"/>
        <v>0</v>
      </c>
      <c r="BP34" s="104">
        <f t="shared" si="35"/>
        <v>1</v>
      </c>
      <c r="BQ34" s="104">
        <f t="shared" si="36"/>
        <v>0</v>
      </c>
      <c r="BR34" s="9">
        <f t="shared" si="37"/>
        <v>0</v>
      </c>
      <c r="BS34" s="103">
        <f t="shared" si="38"/>
        <v>0.60519231353472269</v>
      </c>
    </row>
    <row r="35" spans="1:71" s="8" customFormat="1" ht="13" x14ac:dyDescent="0.3">
      <c r="A35" s="109" t="s">
        <v>102</v>
      </c>
      <c r="B35" s="76">
        <v>0</v>
      </c>
      <c r="C35" s="76">
        <v>24480.7</v>
      </c>
      <c r="D35" s="76">
        <v>0</v>
      </c>
      <c r="E35" s="84">
        <f t="shared" si="0"/>
        <v>0</v>
      </c>
      <c r="F35" s="78">
        <f t="shared" ref="F35:F40" si="46">IF(E35&lt;=1.05,1,0)</f>
        <v>1</v>
      </c>
      <c r="G35" s="92"/>
      <c r="H35" s="93">
        <f t="shared" si="1"/>
        <v>1</v>
      </c>
      <c r="I35" s="81">
        <v>0</v>
      </c>
      <c r="J35" s="81">
        <v>729772</v>
      </c>
      <c r="K35" s="82">
        <v>554845.5</v>
      </c>
      <c r="L35" s="81">
        <v>93942.6</v>
      </c>
      <c r="M35" s="76">
        <v>0</v>
      </c>
      <c r="N35" s="84">
        <f>(I35)/(J35-K35-L35)</f>
        <v>0</v>
      </c>
      <c r="O35" s="78">
        <f t="shared" ref="O35:O40" si="47">IF(N35&lt;=1,1,0)</f>
        <v>1</v>
      </c>
      <c r="P35" s="92"/>
      <c r="Q35" s="93">
        <f t="shared" si="3"/>
        <v>1</v>
      </c>
      <c r="R35" s="107">
        <v>0</v>
      </c>
      <c r="S35" s="76">
        <v>750729.7</v>
      </c>
      <c r="T35" s="86">
        <v>274860.59899999999</v>
      </c>
      <c r="U35" s="84">
        <f t="shared" si="4"/>
        <v>0</v>
      </c>
      <c r="V35" s="78">
        <f t="shared" ref="V35:V40" si="48">IF(U35&lt;=0.15,1,0)</f>
        <v>1</v>
      </c>
      <c r="W35" s="92"/>
      <c r="X35" s="93">
        <f t="shared" si="6"/>
        <v>1</v>
      </c>
      <c r="Y35" s="76">
        <f t="shared" si="7"/>
        <v>24480.7</v>
      </c>
      <c r="Z35" s="88"/>
      <c r="AA35" s="88">
        <f t="shared" si="23"/>
        <v>24480.7</v>
      </c>
      <c r="AB35" s="88"/>
      <c r="AC35" s="88">
        <f t="shared" si="45"/>
        <v>729772</v>
      </c>
      <c r="AD35" s="88">
        <f t="shared" si="45"/>
        <v>554845.5</v>
      </c>
      <c r="AE35" s="88">
        <f t="shared" si="45"/>
        <v>93942.6</v>
      </c>
      <c r="AF35" s="88">
        <f t="shared" si="9"/>
        <v>80983.899999999994</v>
      </c>
      <c r="AG35" s="89">
        <f>AF35*10%</f>
        <v>8098.3899999999994</v>
      </c>
      <c r="AH35" s="88">
        <f t="shared" si="39"/>
        <v>32579.09</v>
      </c>
      <c r="AI35" s="110">
        <f t="shared" si="12"/>
        <v>0</v>
      </c>
      <c r="AJ35" s="91">
        <f t="shared" ref="AJ35:AJ40" si="49">IF(AI35&lt;=0.1,1.5,0)</f>
        <v>1.5</v>
      </c>
      <c r="AK35" s="92"/>
      <c r="AL35" s="93">
        <f t="shared" si="13"/>
        <v>1.5</v>
      </c>
      <c r="AM35" s="94"/>
      <c r="AN35" s="92"/>
      <c r="AO35" s="108" t="e">
        <f t="shared" si="14"/>
        <v>#DIV/0!</v>
      </c>
      <c r="AP35" s="96" t="e">
        <f t="shared" ref="AP35:AP40" si="50">IF(AO35&lt;=1,1,0)</f>
        <v>#DIV/0!</v>
      </c>
      <c r="AQ35" s="92"/>
      <c r="AR35" s="112" t="e">
        <f t="shared" si="15"/>
        <v>#DIV/0!</v>
      </c>
      <c r="AS35" s="94"/>
      <c r="AT35" s="92"/>
      <c r="AU35" s="108" t="e">
        <f t="shared" si="16"/>
        <v>#DIV/0!</v>
      </c>
      <c r="AV35" s="96" t="e">
        <f t="shared" ref="AV35:AV40" si="51">IF(AU35&lt;=1,1,0)</f>
        <v>#DIV/0!</v>
      </c>
      <c r="AW35" s="92"/>
      <c r="AX35" s="112" t="e">
        <f t="shared" si="17"/>
        <v>#DIV/0!</v>
      </c>
      <c r="AY35" s="98"/>
      <c r="AZ35" s="99"/>
      <c r="BA35" s="91">
        <f t="shared" si="18"/>
        <v>0</v>
      </c>
      <c r="BB35" s="100">
        <f t="shared" si="27"/>
        <v>4.5</v>
      </c>
      <c r="BC35" s="101">
        <v>464562.43</v>
      </c>
      <c r="BD35" s="102">
        <v>56325.591999999997</v>
      </c>
      <c r="BE35" s="9"/>
      <c r="BF35" s="103">
        <f t="shared" si="19"/>
        <v>0.82197874174624164</v>
      </c>
      <c r="BG35" s="9">
        <f t="shared" si="28"/>
        <v>0</v>
      </c>
      <c r="BH35" s="104">
        <f t="shared" si="29"/>
        <v>0</v>
      </c>
      <c r="BI35" s="104">
        <f t="shared" si="30"/>
        <v>0</v>
      </c>
      <c r="BJ35" s="104">
        <f t="shared" si="31"/>
        <v>1</v>
      </c>
      <c r="BK35" s="9">
        <f t="shared" si="32"/>
        <v>0</v>
      </c>
      <c r="BM35" s="103">
        <f t="shared" si="20"/>
        <v>0.33032408435945093</v>
      </c>
      <c r="BN35" s="9">
        <f t="shared" si="33"/>
        <v>0</v>
      </c>
      <c r="BO35" s="104">
        <f t="shared" si="34"/>
        <v>0</v>
      </c>
      <c r="BP35" s="104">
        <f t="shared" si="35"/>
        <v>1</v>
      </c>
      <c r="BQ35" s="104">
        <f t="shared" si="36"/>
        <v>0</v>
      </c>
      <c r="BR35" s="9">
        <f t="shared" si="37"/>
        <v>0</v>
      </c>
      <c r="BS35" s="103">
        <f t="shared" si="38"/>
        <v>0.63658571444231893</v>
      </c>
    </row>
    <row r="36" spans="1:71" s="8" customFormat="1" ht="13" x14ac:dyDescent="0.3">
      <c r="A36" s="109" t="s">
        <v>103</v>
      </c>
      <c r="B36" s="76">
        <v>0</v>
      </c>
      <c r="C36" s="76">
        <v>43285.599999999999</v>
      </c>
      <c r="D36" s="76">
        <v>6990.9</v>
      </c>
      <c r="E36" s="84">
        <f t="shared" si="0"/>
        <v>0</v>
      </c>
      <c r="F36" s="106">
        <f t="shared" si="46"/>
        <v>1</v>
      </c>
      <c r="G36" s="92"/>
      <c r="H36" s="93">
        <f t="shared" si="1"/>
        <v>1</v>
      </c>
      <c r="I36" s="81">
        <v>13981.85</v>
      </c>
      <c r="J36" s="81">
        <v>1696395.5</v>
      </c>
      <c r="K36" s="82">
        <v>1067481.8999999999</v>
      </c>
      <c r="L36" s="81">
        <v>265717.2</v>
      </c>
      <c r="M36" s="76">
        <v>0</v>
      </c>
      <c r="N36" s="84">
        <f t="shared" si="22"/>
        <v>3.8496664614517097E-2</v>
      </c>
      <c r="O36" s="106">
        <f t="shared" si="47"/>
        <v>1</v>
      </c>
      <c r="P36" s="92"/>
      <c r="Q36" s="93">
        <f t="shared" si="3"/>
        <v>1</v>
      </c>
      <c r="R36" s="107">
        <v>13.3881</v>
      </c>
      <c r="S36" s="76">
        <v>1733727.7</v>
      </c>
      <c r="T36" s="86">
        <v>572079.20799999998</v>
      </c>
      <c r="U36" s="84">
        <f t="shared" si="4"/>
        <v>1.1525087057057876E-5</v>
      </c>
      <c r="V36" s="106">
        <f t="shared" si="48"/>
        <v>1</v>
      </c>
      <c r="W36" s="92"/>
      <c r="X36" s="93">
        <f t="shared" si="6"/>
        <v>1</v>
      </c>
      <c r="Y36" s="76">
        <f t="shared" si="7"/>
        <v>43285.599999999999</v>
      </c>
      <c r="Z36" s="88"/>
      <c r="AA36" s="88">
        <f t="shared" si="23"/>
        <v>43285.599999999999</v>
      </c>
      <c r="AB36" s="88"/>
      <c r="AC36" s="88">
        <f t="shared" si="45"/>
        <v>1696395.5</v>
      </c>
      <c r="AD36" s="88">
        <f t="shared" si="45"/>
        <v>1067481.8999999999</v>
      </c>
      <c r="AE36" s="88">
        <f t="shared" si="45"/>
        <v>265717.2</v>
      </c>
      <c r="AF36" s="88">
        <f t="shared" si="9"/>
        <v>363196.40000000008</v>
      </c>
      <c r="AG36" s="88">
        <f>AF36*5%</f>
        <v>18159.820000000003</v>
      </c>
      <c r="AH36" s="88">
        <f t="shared" si="39"/>
        <v>61445.42</v>
      </c>
      <c r="AI36" s="110">
        <f t="shared" si="12"/>
        <v>0</v>
      </c>
      <c r="AJ36" s="91">
        <f t="shared" si="49"/>
        <v>1.5</v>
      </c>
      <c r="AK36" s="111"/>
      <c r="AL36" s="93">
        <f t="shared" si="13"/>
        <v>1.5</v>
      </c>
      <c r="AM36" s="94"/>
      <c r="AN36" s="92"/>
      <c r="AO36" s="108" t="e">
        <f t="shared" si="14"/>
        <v>#DIV/0!</v>
      </c>
      <c r="AP36" s="91" t="e">
        <f t="shared" si="50"/>
        <v>#DIV/0!</v>
      </c>
      <c r="AQ36" s="111"/>
      <c r="AR36" s="112" t="e">
        <f t="shared" si="15"/>
        <v>#DIV/0!</v>
      </c>
      <c r="AS36" s="94"/>
      <c r="AT36" s="92"/>
      <c r="AU36" s="108" t="e">
        <f t="shared" si="16"/>
        <v>#DIV/0!</v>
      </c>
      <c r="AV36" s="91" t="e">
        <f t="shared" si="51"/>
        <v>#DIV/0!</v>
      </c>
      <c r="AW36" s="111"/>
      <c r="AX36" s="112" t="e">
        <f t="shared" si="17"/>
        <v>#DIV/0!</v>
      </c>
      <c r="AY36" s="98"/>
      <c r="AZ36" s="99"/>
      <c r="BA36" s="91">
        <f t="shared" si="18"/>
        <v>0</v>
      </c>
      <c r="BB36" s="100">
        <f t="shared" si="27"/>
        <v>4.5</v>
      </c>
      <c r="BC36" s="101">
        <v>1048238.75</v>
      </c>
      <c r="BD36" s="102">
        <v>19553.02</v>
      </c>
      <c r="BE36" s="9"/>
      <c r="BF36" s="103">
        <f t="shared" si="19"/>
        <v>0.67696243256074773</v>
      </c>
      <c r="BG36" s="9">
        <f t="shared" si="28"/>
        <v>0</v>
      </c>
      <c r="BH36" s="104">
        <f t="shared" si="29"/>
        <v>0</v>
      </c>
      <c r="BI36" s="104">
        <f t="shared" si="30"/>
        <v>1</v>
      </c>
      <c r="BJ36" s="104">
        <f t="shared" si="31"/>
        <v>0</v>
      </c>
      <c r="BK36" s="9">
        <f t="shared" si="32"/>
        <v>0</v>
      </c>
      <c r="BM36" s="103">
        <f t="shared" si="20"/>
        <v>0.25372772949197825</v>
      </c>
      <c r="BN36" s="9">
        <f t="shared" si="33"/>
        <v>0</v>
      </c>
      <c r="BO36" s="104">
        <f t="shared" si="34"/>
        <v>0</v>
      </c>
      <c r="BP36" s="104">
        <f t="shared" si="35"/>
        <v>1</v>
      </c>
      <c r="BQ36" s="104">
        <f t="shared" si="36"/>
        <v>0</v>
      </c>
      <c r="BR36" s="9">
        <f t="shared" si="37"/>
        <v>0</v>
      </c>
      <c r="BS36" s="103">
        <f t="shared" si="38"/>
        <v>0.61792120410600004</v>
      </c>
    </row>
    <row r="37" spans="1:71" s="8" customFormat="1" ht="13" x14ac:dyDescent="0.3">
      <c r="A37" s="119" t="s">
        <v>104</v>
      </c>
      <c r="B37" s="120">
        <v>0</v>
      </c>
      <c r="C37" s="120">
        <v>16347.8</v>
      </c>
      <c r="D37" s="120">
        <v>0</v>
      </c>
      <c r="E37" s="121">
        <f t="shared" si="0"/>
        <v>0</v>
      </c>
      <c r="F37" s="122"/>
      <c r="G37" s="123">
        <f>IF(E37&lt;=1.05,1,0)</f>
        <v>1</v>
      </c>
      <c r="H37" s="124">
        <f t="shared" si="1"/>
        <v>1</v>
      </c>
      <c r="I37" s="125">
        <v>0</v>
      </c>
      <c r="J37" s="125">
        <v>535564.4</v>
      </c>
      <c r="K37" s="126">
        <v>346730.9</v>
      </c>
      <c r="L37" s="125">
        <v>130973.9</v>
      </c>
      <c r="M37" s="120">
        <v>0</v>
      </c>
      <c r="N37" s="121">
        <f>(I37)/(J37-K37-L37)</f>
        <v>0</v>
      </c>
      <c r="O37" s="122"/>
      <c r="P37" s="123">
        <f>IF(N37&lt;=0.5,1,0)</f>
        <v>1</v>
      </c>
      <c r="Q37" s="124">
        <f t="shared" si="3"/>
        <v>1</v>
      </c>
      <c r="R37" s="127">
        <v>0</v>
      </c>
      <c r="S37" s="120">
        <v>551912.19999999995</v>
      </c>
      <c r="T37" s="128">
        <v>177130.454</v>
      </c>
      <c r="U37" s="121">
        <f t="shared" si="4"/>
        <v>0</v>
      </c>
      <c r="V37" s="122"/>
      <c r="W37" s="123">
        <f>IF(U37&lt;=0.15,1,0)</f>
        <v>1</v>
      </c>
      <c r="X37" s="124">
        <f t="shared" si="6"/>
        <v>1</v>
      </c>
      <c r="Y37" s="120">
        <f t="shared" si="7"/>
        <v>16347.8</v>
      </c>
      <c r="Z37" s="129"/>
      <c r="AA37" s="129">
        <f>C37</f>
        <v>16347.8</v>
      </c>
      <c r="AB37" s="129"/>
      <c r="AC37" s="129">
        <f t="shared" si="45"/>
        <v>535564.4</v>
      </c>
      <c r="AD37" s="129">
        <f t="shared" si="45"/>
        <v>346730.9</v>
      </c>
      <c r="AE37" s="129">
        <f t="shared" si="45"/>
        <v>130973.9</v>
      </c>
      <c r="AF37" s="129">
        <f t="shared" si="9"/>
        <v>57859.600000000006</v>
      </c>
      <c r="AG37" s="129">
        <f>AF37*5%</f>
        <v>2892.9800000000005</v>
      </c>
      <c r="AH37" s="129">
        <f t="shared" si="39"/>
        <v>19240.78</v>
      </c>
      <c r="AI37" s="130">
        <f t="shared" si="12"/>
        <v>0</v>
      </c>
      <c r="AJ37" s="131"/>
      <c r="AK37" s="132">
        <f>IF(AI37&lt;=0.05,1.5,0)</f>
        <v>1.5</v>
      </c>
      <c r="AL37" s="124">
        <f t="shared" si="13"/>
        <v>1.5</v>
      </c>
      <c r="AM37" s="133"/>
      <c r="AN37" s="123"/>
      <c r="AO37" s="134" t="e">
        <f t="shared" si="14"/>
        <v>#DIV/0!</v>
      </c>
      <c r="AP37" s="131"/>
      <c r="AQ37" s="132" t="e">
        <f>IF(AO37&lt;=1,1,0)</f>
        <v>#DIV/0!</v>
      </c>
      <c r="AR37" s="135" t="e">
        <f>AP37+AQ37</f>
        <v>#DIV/0!</v>
      </c>
      <c r="AS37" s="133"/>
      <c r="AT37" s="123"/>
      <c r="AU37" s="134" t="e">
        <f t="shared" si="16"/>
        <v>#DIV/0!</v>
      </c>
      <c r="AV37" s="131"/>
      <c r="AW37" s="132" t="e">
        <f>IF(AU37&lt;=1,1,0)</f>
        <v>#DIV/0!</v>
      </c>
      <c r="AX37" s="135" t="e">
        <f t="shared" si="17"/>
        <v>#DIV/0!</v>
      </c>
      <c r="AY37" s="98"/>
      <c r="AZ37" s="99"/>
      <c r="BA37" s="91">
        <f t="shared" si="18"/>
        <v>0</v>
      </c>
      <c r="BB37" s="100">
        <f>H37+Q37+X37+AL37+BA37</f>
        <v>4.5</v>
      </c>
      <c r="BC37" s="101">
        <v>525665.42000000004</v>
      </c>
      <c r="BD37" s="102">
        <v>49196.446000000004</v>
      </c>
      <c r="BE37" s="9"/>
      <c r="BF37" s="103">
        <f t="shared" si="19"/>
        <v>0.83857667320382656</v>
      </c>
      <c r="BG37" s="9">
        <f t="shared" si="28"/>
        <v>0</v>
      </c>
      <c r="BH37" s="104">
        <f t="shared" si="29"/>
        <v>0</v>
      </c>
      <c r="BI37" s="104">
        <f t="shared" si="30"/>
        <v>0</v>
      </c>
      <c r="BJ37" s="104">
        <f t="shared" si="31"/>
        <v>1</v>
      </c>
      <c r="BK37" s="9">
        <f t="shared" si="32"/>
        <v>0</v>
      </c>
      <c r="BM37" s="103">
        <f t="shared" si="20"/>
        <v>0.50265982898840722</v>
      </c>
      <c r="BN37" s="9">
        <f t="shared" si="33"/>
        <v>0</v>
      </c>
      <c r="BO37" s="104">
        <f t="shared" si="34"/>
        <v>0</v>
      </c>
      <c r="BP37" s="104">
        <f t="shared" si="35"/>
        <v>0</v>
      </c>
      <c r="BQ37" s="104">
        <f t="shared" si="36"/>
        <v>1</v>
      </c>
      <c r="BR37" s="9">
        <f t="shared" si="37"/>
        <v>0</v>
      </c>
      <c r="BS37" s="103">
        <f t="shared" si="38"/>
        <v>0.98151673262823302</v>
      </c>
    </row>
    <row r="38" spans="1:71" s="8" customFormat="1" ht="13" x14ac:dyDescent="0.3">
      <c r="A38" s="109" t="s">
        <v>105</v>
      </c>
      <c r="B38" s="113">
        <v>0</v>
      </c>
      <c r="C38" s="113">
        <v>33438.1</v>
      </c>
      <c r="D38" s="113">
        <v>0</v>
      </c>
      <c r="E38" s="84">
        <f t="shared" si="0"/>
        <v>0</v>
      </c>
      <c r="F38" s="78">
        <f t="shared" si="46"/>
        <v>1</v>
      </c>
      <c r="G38" s="79"/>
      <c r="H38" s="80">
        <f t="shared" si="1"/>
        <v>1</v>
      </c>
      <c r="I38" s="81">
        <v>0</v>
      </c>
      <c r="J38" s="114">
        <v>713317.3</v>
      </c>
      <c r="K38" s="82">
        <v>496628.1</v>
      </c>
      <c r="L38" s="81">
        <v>147382.39999999999</v>
      </c>
      <c r="M38" s="113">
        <v>0</v>
      </c>
      <c r="N38" s="84">
        <f>(I38)/(J38-K38-L38)</f>
        <v>0</v>
      </c>
      <c r="O38" s="78">
        <f t="shared" si="47"/>
        <v>1</v>
      </c>
      <c r="P38" s="79"/>
      <c r="Q38" s="80">
        <f t="shared" si="3"/>
        <v>1</v>
      </c>
      <c r="R38" s="115">
        <v>0</v>
      </c>
      <c r="S38" s="113">
        <v>746755.4</v>
      </c>
      <c r="T38" s="86">
        <v>336897.62099999998</v>
      </c>
      <c r="U38" s="77">
        <f t="shared" si="4"/>
        <v>0</v>
      </c>
      <c r="V38" s="78">
        <f t="shared" si="48"/>
        <v>1</v>
      </c>
      <c r="W38" s="79"/>
      <c r="X38" s="80">
        <f t="shared" si="6"/>
        <v>1</v>
      </c>
      <c r="Y38" s="113">
        <f t="shared" si="7"/>
        <v>33438.1</v>
      </c>
      <c r="Z38" s="89"/>
      <c r="AA38" s="89">
        <f t="shared" si="23"/>
        <v>33438.1</v>
      </c>
      <c r="AB38" s="89"/>
      <c r="AC38" s="89">
        <f t="shared" si="45"/>
        <v>713317.3</v>
      </c>
      <c r="AD38" s="89">
        <f t="shared" si="45"/>
        <v>496628.1</v>
      </c>
      <c r="AE38" s="88">
        <f t="shared" si="45"/>
        <v>147382.39999999999</v>
      </c>
      <c r="AF38" s="89">
        <f t="shared" si="9"/>
        <v>69306.800000000076</v>
      </c>
      <c r="AG38" s="89">
        <f>AF38*10%</f>
        <v>6930.6800000000076</v>
      </c>
      <c r="AH38" s="89">
        <f t="shared" si="39"/>
        <v>40368.780000000006</v>
      </c>
      <c r="AI38" s="116">
        <f t="shared" si="12"/>
        <v>0</v>
      </c>
      <c r="AJ38" s="91">
        <f t="shared" si="49"/>
        <v>1.5</v>
      </c>
      <c r="AK38" s="79"/>
      <c r="AL38" s="80">
        <f t="shared" si="13"/>
        <v>1.5</v>
      </c>
      <c r="AM38" s="117"/>
      <c r="AN38" s="79"/>
      <c r="AO38" s="95" t="e">
        <f t="shared" si="14"/>
        <v>#DIV/0!</v>
      </c>
      <c r="AP38" s="96" t="e">
        <f t="shared" si="50"/>
        <v>#DIV/0!</v>
      </c>
      <c r="AQ38" s="79"/>
      <c r="AR38" s="97" t="e">
        <f t="shared" si="15"/>
        <v>#DIV/0!</v>
      </c>
      <c r="AS38" s="117"/>
      <c r="AT38" s="79"/>
      <c r="AU38" s="95" t="e">
        <f t="shared" si="16"/>
        <v>#DIV/0!</v>
      </c>
      <c r="AV38" s="96" t="e">
        <f t="shared" si="51"/>
        <v>#DIV/0!</v>
      </c>
      <c r="AW38" s="79"/>
      <c r="AX38" s="97" t="e">
        <f t="shared" si="17"/>
        <v>#DIV/0!</v>
      </c>
      <c r="AY38" s="98"/>
      <c r="AZ38" s="99"/>
      <c r="BA38" s="91">
        <f t="shared" si="18"/>
        <v>0</v>
      </c>
      <c r="BB38" s="100">
        <f>H38+Q38+X38+AL38+BA38</f>
        <v>4.5</v>
      </c>
      <c r="BC38" s="101">
        <v>602823.41</v>
      </c>
      <c r="BD38" s="102">
        <v>44642.803</v>
      </c>
      <c r="BE38" s="9"/>
      <c r="BF38" s="103">
        <f t="shared" si="19"/>
        <v>0.81587891423710601</v>
      </c>
      <c r="BG38" s="9">
        <f t="shared" si="28"/>
        <v>0</v>
      </c>
      <c r="BH38" s="104">
        <f t="shared" si="29"/>
        <v>0</v>
      </c>
      <c r="BI38" s="104">
        <f t="shared" si="30"/>
        <v>0</v>
      </c>
      <c r="BJ38" s="104">
        <f t="shared" si="31"/>
        <v>1</v>
      </c>
      <c r="BK38" s="9">
        <f t="shared" si="32"/>
        <v>0</v>
      </c>
      <c r="BM38" s="103">
        <f t="shared" si="20"/>
        <v>0.51013592995492663</v>
      </c>
      <c r="BN38" s="9">
        <f t="shared" si="33"/>
        <v>0</v>
      </c>
      <c r="BO38" s="104">
        <f t="shared" si="34"/>
        <v>0</v>
      </c>
      <c r="BP38" s="104">
        <f t="shared" si="35"/>
        <v>0</v>
      </c>
      <c r="BQ38" s="104">
        <f t="shared" si="36"/>
        <v>1</v>
      </c>
      <c r="BR38" s="9">
        <f t="shared" si="37"/>
        <v>0</v>
      </c>
      <c r="BS38" s="103">
        <f t="shared" si="38"/>
        <v>0.84509854170086718</v>
      </c>
    </row>
    <row r="39" spans="1:71" s="8" customFormat="1" ht="13" x14ac:dyDescent="0.3">
      <c r="A39" s="109" t="s">
        <v>106</v>
      </c>
      <c r="B39" s="113">
        <v>0</v>
      </c>
      <c r="C39" s="113">
        <v>78200.399999999994</v>
      </c>
      <c r="D39" s="113">
        <v>1166.7</v>
      </c>
      <c r="E39" s="84">
        <f t="shared" si="0"/>
        <v>0</v>
      </c>
      <c r="F39" s="78">
        <f t="shared" si="46"/>
        <v>1</v>
      </c>
      <c r="G39" s="79"/>
      <c r="H39" s="80">
        <f t="shared" si="1"/>
        <v>1</v>
      </c>
      <c r="I39" s="81">
        <v>2333.3333400000001</v>
      </c>
      <c r="J39" s="114">
        <v>1090431.3999999999</v>
      </c>
      <c r="K39" s="82">
        <v>803113.5</v>
      </c>
      <c r="L39" s="81">
        <v>189510.1</v>
      </c>
      <c r="M39" s="113">
        <v>0</v>
      </c>
      <c r="N39" s="84">
        <f>(I39)/(J39-K39-L39)</f>
        <v>2.3856311459822248E-2</v>
      </c>
      <c r="O39" s="78">
        <f t="shared" si="47"/>
        <v>1</v>
      </c>
      <c r="P39" s="79"/>
      <c r="Q39" s="80">
        <f t="shared" si="3"/>
        <v>1</v>
      </c>
      <c r="R39" s="115">
        <v>2.2342499999999998</v>
      </c>
      <c r="S39" s="113">
        <v>1168895.8999999999</v>
      </c>
      <c r="T39" s="86">
        <v>345708.00699999998</v>
      </c>
      <c r="U39" s="77">
        <f t="shared" si="4"/>
        <v>2.7141434161009946E-6</v>
      </c>
      <c r="V39" s="78">
        <f t="shared" si="48"/>
        <v>1</v>
      </c>
      <c r="W39" s="79"/>
      <c r="X39" s="80">
        <f t="shared" si="6"/>
        <v>1</v>
      </c>
      <c r="Y39" s="113">
        <f t="shared" si="7"/>
        <v>78200.399999999994</v>
      </c>
      <c r="Z39" s="89"/>
      <c r="AA39" s="89">
        <f t="shared" si="23"/>
        <v>78200.399999999994</v>
      </c>
      <c r="AB39" s="89"/>
      <c r="AC39" s="89">
        <f t="shared" si="45"/>
        <v>1090431.3999999999</v>
      </c>
      <c r="AD39" s="89">
        <f t="shared" si="45"/>
        <v>803113.5</v>
      </c>
      <c r="AE39" s="88">
        <f t="shared" si="45"/>
        <v>189510.1</v>
      </c>
      <c r="AF39" s="89">
        <f t="shared" si="9"/>
        <v>97807.799999999901</v>
      </c>
      <c r="AG39" s="89">
        <f>AF39*10%</f>
        <v>9780.7799999999897</v>
      </c>
      <c r="AH39" s="89">
        <f t="shared" si="39"/>
        <v>87981.179999999978</v>
      </c>
      <c r="AI39" s="116">
        <f t="shared" si="12"/>
        <v>0</v>
      </c>
      <c r="AJ39" s="91">
        <f t="shared" si="49"/>
        <v>1.5</v>
      </c>
      <c r="AK39" s="79"/>
      <c r="AL39" s="80">
        <f t="shared" si="13"/>
        <v>1.5</v>
      </c>
      <c r="AM39" s="117"/>
      <c r="AN39" s="79"/>
      <c r="AO39" s="95" t="e">
        <f t="shared" si="14"/>
        <v>#DIV/0!</v>
      </c>
      <c r="AP39" s="96" t="e">
        <f t="shared" si="50"/>
        <v>#DIV/0!</v>
      </c>
      <c r="AQ39" s="79"/>
      <c r="AR39" s="97" t="e">
        <f t="shared" si="15"/>
        <v>#DIV/0!</v>
      </c>
      <c r="AS39" s="117"/>
      <c r="AT39" s="79"/>
      <c r="AU39" s="95" t="e">
        <f t="shared" si="16"/>
        <v>#DIV/0!</v>
      </c>
      <c r="AV39" s="96" t="e">
        <f t="shared" si="51"/>
        <v>#DIV/0!</v>
      </c>
      <c r="AW39" s="79"/>
      <c r="AX39" s="97" t="e">
        <f t="shared" si="17"/>
        <v>#DIV/0!</v>
      </c>
      <c r="AY39" s="98"/>
      <c r="AZ39" s="99"/>
      <c r="BA39" s="91">
        <f t="shared" si="18"/>
        <v>0</v>
      </c>
      <c r="BB39" s="100">
        <f>H39+Q39+X39+AL39+BA39</f>
        <v>4.5</v>
      </c>
      <c r="BC39" s="101">
        <v>907546.37</v>
      </c>
      <c r="BD39" s="102">
        <v>76667.680959999998</v>
      </c>
      <c r="BE39" s="9"/>
      <c r="BF39" s="103">
        <f t="shared" si="19"/>
        <v>0.86866559998068982</v>
      </c>
      <c r="BG39" s="9">
        <f t="shared" si="28"/>
        <v>0</v>
      </c>
      <c r="BH39" s="104">
        <f t="shared" si="29"/>
        <v>0</v>
      </c>
      <c r="BI39" s="104">
        <f t="shared" si="30"/>
        <v>0</v>
      </c>
      <c r="BJ39" s="104">
        <f t="shared" si="31"/>
        <v>1</v>
      </c>
      <c r="BK39" s="9">
        <f t="shared" si="32"/>
        <v>0</v>
      </c>
      <c r="BM39" s="103">
        <f t="shared" si="20"/>
        <v>0.35741831593035511</v>
      </c>
      <c r="BN39" s="9">
        <f t="shared" si="33"/>
        <v>0</v>
      </c>
      <c r="BO39" s="104">
        <f t="shared" si="34"/>
        <v>0</v>
      </c>
      <c r="BP39" s="104">
        <f t="shared" si="35"/>
        <v>1</v>
      </c>
      <c r="BQ39" s="104">
        <f t="shared" si="36"/>
        <v>0</v>
      </c>
      <c r="BR39" s="9">
        <f t="shared" si="37"/>
        <v>0</v>
      </c>
      <c r="BS39" s="103">
        <f t="shared" si="38"/>
        <v>0.83228194822709622</v>
      </c>
    </row>
    <row r="40" spans="1:71" s="8" customFormat="1" ht="13.5" thickBot="1" x14ac:dyDescent="0.35">
      <c r="A40" s="109" t="s">
        <v>107</v>
      </c>
      <c r="B40" s="113">
        <v>0</v>
      </c>
      <c r="C40" s="113">
        <v>73056.100000000006</v>
      </c>
      <c r="D40" s="113">
        <v>0</v>
      </c>
      <c r="E40" s="84">
        <f t="shared" si="0"/>
        <v>0</v>
      </c>
      <c r="F40" s="78">
        <f t="shared" si="46"/>
        <v>1</v>
      </c>
      <c r="G40" s="79"/>
      <c r="H40" s="80">
        <f t="shared" si="1"/>
        <v>1</v>
      </c>
      <c r="I40" s="81">
        <v>0</v>
      </c>
      <c r="J40" s="114">
        <v>1134316.3</v>
      </c>
      <c r="K40" s="82">
        <v>759725.3</v>
      </c>
      <c r="L40" s="81">
        <v>248918.5</v>
      </c>
      <c r="M40" s="113">
        <v>0</v>
      </c>
      <c r="N40" s="84">
        <f>(I40)/(J40-K40-L40)</f>
        <v>0</v>
      </c>
      <c r="O40" s="78">
        <f t="shared" si="47"/>
        <v>1</v>
      </c>
      <c r="P40" s="79"/>
      <c r="Q40" s="80">
        <f t="shared" si="3"/>
        <v>1</v>
      </c>
      <c r="R40" s="115">
        <v>0</v>
      </c>
      <c r="S40" s="113">
        <v>1207372.3999999999</v>
      </c>
      <c r="T40" s="86">
        <v>577403.973</v>
      </c>
      <c r="U40" s="77">
        <f t="shared" si="4"/>
        <v>0</v>
      </c>
      <c r="V40" s="78">
        <f t="shared" si="48"/>
        <v>1</v>
      </c>
      <c r="W40" s="79"/>
      <c r="X40" s="80">
        <f t="shared" si="6"/>
        <v>1</v>
      </c>
      <c r="Y40" s="113">
        <f t="shared" si="7"/>
        <v>73056.100000000006</v>
      </c>
      <c r="Z40" s="89"/>
      <c r="AA40" s="89">
        <f t="shared" si="23"/>
        <v>73056.100000000006</v>
      </c>
      <c r="AB40" s="89"/>
      <c r="AC40" s="89">
        <f t="shared" si="45"/>
        <v>1134316.3</v>
      </c>
      <c r="AD40" s="89">
        <f t="shared" si="45"/>
        <v>759725.3</v>
      </c>
      <c r="AE40" s="88">
        <f t="shared" si="45"/>
        <v>248918.5</v>
      </c>
      <c r="AF40" s="89">
        <f t="shared" si="9"/>
        <v>125672.5</v>
      </c>
      <c r="AG40" s="89">
        <f>AF40*10%</f>
        <v>12567.25</v>
      </c>
      <c r="AH40" s="89">
        <f t="shared" si="39"/>
        <v>85623.35</v>
      </c>
      <c r="AI40" s="116">
        <f t="shared" si="12"/>
        <v>0</v>
      </c>
      <c r="AJ40" s="91">
        <f t="shared" si="49"/>
        <v>1.5</v>
      </c>
      <c r="AK40" s="79"/>
      <c r="AL40" s="80">
        <f t="shared" si="13"/>
        <v>1.5</v>
      </c>
      <c r="AM40" s="117"/>
      <c r="AN40" s="79"/>
      <c r="AO40" s="95" t="e">
        <f t="shared" si="14"/>
        <v>#DIV/0!</v>
      </c>
      <c r="AP40" s="96" t="e">
        <f t="shared" si="50"/>
        <v>#DIV/0!</v>
      </c>
      <c r="AQ40" s="79"/>
      <c r="AR40" s="97" t="e">
        <f t="shared" si="15"/>
        <v>#DIV/0!</v>
      </c>
      <c r="AS40" s="117"/>
      <c r="AT40" s="79"/>
      <c r="AU40" s="95" t="e">
        <f t="shared" si="16"/>
        <v>#DIV/0!</v>
      </c>
      <c r="AV40" s="96" t="e">
        <f t="shared" si="51"/>
        <v>#DIV/0!</v>
      </c>
      <c r="AW40" s="79"/>
      <c r="AX40" s="97" t="e">
        <f t="shared" si="17"/>
        <v>#DIV/0!</v>
      </c>
      <c r="AY40" s="98"/>
      <c r="AZ40" s="99"/>
      <c r="BA40" s="91">
        <f t="shared" si="18"/>
        <v>0</v>
      </c>
      <c r="BB40" s="100">
        <f>H40+Q40+X40+AL40+BA40</f>
        <v>4.5</v>
      </c>
      <c r="BC40" s="101">
        <v>935988.22</v>
      </c>
      <c r="BD40" s="102">
        <v>34090.917000000001</v>
      </c>
      <c r="BE40" s="9"/>
      <c r="BF40" s="103">
        <f t="shared" si="19"/>
        <v>0.77434060280730688</v>
      </c>
      <c r="BG40" s="9">
        <f t="shared" si="28"/>
        <v>0</v>
      </c>
      <c r="BH40" s="104">
        <f t="shared" si="29"/>
        <v>0</v>
      </c>
      <c r="BI40" s="104">
        <f t="shared" si="30"/>
        <v>0</v>
      </c>
      <c r="BJ40" s="104">
        <f t="shared" si="31"/>
        <v>1</v>
      </c>
      <c r="BK40" s="9">
        <f t="shared" si="32"/>
        <v>0</v>
      </c>
      <c r="BM40" s="103">
        <f t="shared" si="20"/>
        <v>0.50817588923651169</v>
      </c>
      <c r="BN40" s="9">
        <f t="shared" si="33"/>
        <v>0</v>
      </c>
      <c r="BO40" s="104">
        <f t="shared" si="34"/>
        <v>0</v>
      </c>
      <c r="BP40" s="104">
        <f t="shared" si="35"/>
        <v>0</v>
      </c>
      <c r="BQ40" s="104">
        <f t="shared" si="36"/>
        <v>1</v>
      </c>
      <c r="BR40" s="9">
        <f t="shared" si="37"/>
        <v>0</v>
      </c>
      <c r="BS40" s="103">
        <f t="shared" si="38"/>
        <v>0.82515628136525931</v>
      </c>
    </row>
    <row r="41" spans="1:71" ht="14" thickTop="1" thickBot="1" x14ac:dyDescent="0.35">
      <c r="A41" s="140" t="s">
        <v>108</v>
      </c>
      <c r="B41" s="141">
        <f>SUM(B10:B40)</f>
        <v>2365139.9</v>
      </c>
      <c r="C41" s="141">
        <f>SUM(C10:C40)</f>
        <v>1686922.1000000006</v>
      </c>
      <c r="D41" s="141">
        <f>SUM(D10:D40)</f>
        <v>2436297.5</v>
      </c>
      <c r="E41" s="142"/>
      <c r="F41" s="142"/>
      <c r="G41" s="142"/>
      <c r="H41" s="143"/>
      <c r="I41" s="144">
        <f>SUM(I10:I40)</f>
        <v>2938455.0983500001</v>
      </c>
      <c r="J41" s="145">
        <f>SUM(J10:J40)</f>
        <v>51063698.79999999</v>
      </c>
      <c r="K41" s="145">
        <f>SUM(K10:K40)</f>
        <v>36212856.200000003</v>
      </c>
      <c r="L41" s="145">
        <f>SUM(L10:L40)</f>
        <v>5672968.2000000002</v>
      </c>
      <c r="M41" s="142">
        <f>SUM(M10:M40)</f>
        <v>0</v>
      </c>
      <c r="N41" s="142"/>
      <c r="O41" s="142"/>
      <c r="P41" s="142"/>
      <c r="Q41" s="143"/>
      <c r="R41" s="146">
        <f>SUM(R10:R40)</f>
        <v>389757.32024999999</v>
      </c>
      <c r="S41" s="142">
        <f>SUM(S10:S40)</f>
        <v>52723667.899999991</v>
      </c>
      <c r="T41" s="147">
        <f>SUM(T10:T40)</f>
        <v>19382339.900999997</v>
      </c>
      <c r="U41" s="142"/>
      <c r="V41" s="142"/>
      <c r="W41" s="142"/>
      <c r="X41" s="143"/>
      <c r="Y41" s="148">
        <f t="shared" ref="Y41:AE41" si="52">SUM(Y10:Y40)</f>
        <v>1686922.1000000006</v>
      </c>
      <c r="Z41" s="146">
        <f t="shared" si="52"/>
        <v>0</v>
      </c>
      <c r="AA41" s="146">
        <f t="shared" si="52"/>
        <v>1686922.1000000006</v>
      </c>
      <c r="AB41" s="146">
        <f t="shared" si="52"/>
        <v>0</v>
      </c>
      <c r="AC41" s="146">
        <f t="shared" si="52"/>
        <v>51063698.79999999</v>
      </c>
      <c r="AD41" s="146">
        <f t="shared" si="52"/>
        <v>36212856.200000003</v>
      </c>
      <c r="AE41" s="146">
        <f t="shared" si="52"/>
        <v>5672968.2000000002</v>
      </c>
      <c r="AF41" s="149"/>
      <c r="AG41" s="149"/>
      <c r="AH41" s="149"/>
      <c r="AI41" s="142"/>
      <c r="AJ41" s="142"/>
      <c r="AK41" s="142"/>
      <c r="AL41" s="142"/>
      <c r="AM41" s="146">
        <f>SUM(AM10:AM40)</f>
        <v>0</v>
      </c>
      <c r="AN41" s="150">
        <f>SUM(AN10:AN40)</f>
        <v>0</v>
      </c>
      <c r="AO41" s="142"/>
      <c r="AP41" s="142"/>
      <c r="AQ41" s="142"/>
      <c r="AR41" s="142"/>
      <c r="AS41" s="150">
        <f>SUM(AS10:AS40)</f>
        <v>0</v>
      </c>
      <c r="AT41" s="150">
        <f>SUM(AT10:AT40)</f>
        <v>0</v>
      </c>
      <c r="AU41" s="142"/>
      <c r="AV41" s="142"/>
      <c r="AW41" s="142"/>
      <c r="AX41" s="142"/>
      <c r="AY41" s="150"/>
      <c r="AZ41" s="142"/>
      <c r="BA41" s="143"/>
      <c r="BB41" s="151"/>
      <c r="BC41" s="7"/>
      <c r="BD41" s="1"/>
      <c r="BF41" s="152"/>
      <c r="BG41" s="153">
        <f>SUM(BG10:BG40)</f>
        <v>0</v>
      </c>
      <c r="BH41" s="153">
        <f>SUM(BH10:BH40)</f>
        <v>0</v>
      </c>
      <c r="BI41" s="153">
        <f>SUM(BI10:BI40)</f>
        <v>7</v>
      </c>
      <c r="BJ41" s="153">
        <f>SUM(BJ10:BJ40)</f>
        <v>21</v>
      </c>
      <c r="BK41" s="153">
        <f>SUM(BK10:BK40)</f>
        <v>3</v>
      </c>
      <c r="BM41" s="152"/>
      <c r="BN41" s="153">
        <f>SUM(BN10:BN40)</f>
        <v>0</v>
      </c>
      <c r="BO41" s="153">
        <f>SUM(BO10:BO40)</f>
        <v>2</v>
      </c>
      <c r="BP41" s="153">
        <f>SUM(BP10:BP40)</f>
        <v>18</v>
      </c>
      <c r="BQ41" s="153">
        <f>SUM(BQ10:BQ40)</f>
        <v>11</v>
      </c>
      <c r="BR41" s="153">
        <f>SUM(BR10:BR40)</f>
        <v>0</v>
      </c>
    </row>
    <row r="42" spans="1:71" ht="13.5" thickTop="1" x14ac:dyDescent="0.3">
      <c r="BA42">
        <v>3</v>
      </c>
      <c r="BC42" s="7"/>
      <c r="BD42" s="1"/>
      <c r="BF42" s="9" t="s">
        <v>109</v>
      </c>
      <c r="BG42" s="9" t="e">
        <f>BG10+BG11+BG12+BG13+BG14+#REF!</f>
        <v>#REF!</v>
      </c>
      <c r="BH42" s="9" t="e">
        <f>BH10+BH11+BH12+BH13+BH14+#REF!</f>
        <v>#REF!</v>
      </c>
      <c r="BI42" s="9" t="e">
        <f>BI10+BI11+BI12+BI13+BI14+#REF!</f>
        <v>#REF!</v>
      </c>
      <c r="BJ42" s="9" t="e">
        <f>BJ10+BJ11+BJ12+BJ13+BJ14+#REF!</f>
        <v>#REF!</v>
      </c>
      <c r="BK42" s="9" t="e">
        <f>BK10+BK11+BK12+BK13+BK14+#REF!</f>
        <v>#REF!</v>
      </c>
      <c r="BM42" s="9" t="s">
        <v>109</v>
      </c>
      <c r="BN42" s="9" t="e">
        <f>BN10+BN11+BN12+BN13+BN14+#REF!</f>
        <v>#REF!</v>
      </c>
      <c r="BO42" s="9" t="e">
        <f>BO10+BO11+BO12+BO13+BO14+#REF!</f>
        <v>#REF!</v>
      </c>
      <c r="BP42" s="9" t="e">
        <f>BP10+BP11+BP12+BP13+BP14+#REF!</f>
        <v>#REF!</v>
      </c>
      <c r="BQ42" s="9" t="e">
        <f>BQ10+BQ11+BQ12+BQ13+BQ14+#REF!</f>
        <v>#REF!</v>
      </c>
      <c r="BR42" s="9" t="e">
        <f>BR10+BR11+BR12+BR13+BR14+#REF!</f>
        <v>#REF!</v>
      </c>
    </row>
    <row r="43" spans="1:71" ht="25" hidden="1" x14ac:dyDescent="0.25">
      <c r="B43" s="154" t="s">
        <v>110</v>
      </c>
      <c r="C43" s="154" t="s">
        <v>111</v>
      </c>
      <c r="D43" s="154" t="s">
        <v>112</v>
      </c>
      <c r="L43" s="155"/>
      <c r="BF43" s="9" t="s">
        <v>113</v>
      </c>
      <c r="BG43" s="9" t="e">
        <f>BG41-BG42</f>
        <v>#REF!</v>
      </c>
      <c r="BH43" s="9" t="e">
        <f>BH41-BH42</f>
        <v>#REF!</v>
      </c>
      <c r="BI43" s="9" t="e">
        <f>BI41-BI42</f>
        <v>#REF!</v>
      </c>
      <c r="BJ43" s="9" t="e">
        <f>BJ41-BJ42</f>
        <v>#REF!</v>
      </c>
      <c r="BK43" s="9" t="e">
        <f>BK41-BK42</f>
        <v>#REF!</v>
      </c>
      <c r="BM43" s="9" t="s">
        <v>113</v>
      </c>
      <c r="BN43" s="9" t="e">
        <f>BN41-BN42</f>
        <v>#REF!</v>
      </c>
      <c r="BO43" s="9" t="e">
        <f>BO41-BO42</f>
        <v>#REF!</v>
      </c>
      <c r="BP43" s="9" t="e">
        <f>BP41-BP42</f>
        <v>#REF!</v>
      </c>
      <c r="BQ43" s="9" t="e">
        <f>BQ41-BQ42</f>
        <v>#REF!</v>
      </c>
      <c r="BR43" s="9" t="e">
        <f>BR41-BR42</f>
        <v>#REF!</v>
      </c>
    </row>
    <row r="44" spans="1:71" x14ac:dyDescent="0.25">
      <c r="L44" s="156"/>
    </row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1 кв.</vt:lpstr>
      <vt:lpstr>'за 1 кв.'!Заголовки_для_печати</vt:lpstr>
      <vt:lpstr>'за 1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2026-04-30T05:19:04Z</dcterms:created>
  <dcterms:modified xsi:type="dcterms:W3CDTF">2026-04-30T05:20:32Z</dcterms:modified>
</cp:coreProperties>
</file>