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70" windowWidth="24900" windowHeight="10090"/>
  </bookViews>
  <sheets>
    <sheet name="за 4 кв. (план)" sheetId="1" r:id="rId1"/>
    <sheet name="за 4 кв. (факт) (по кодексу)" sheetId="2" r:id="rId2"/>
  </sheets>
  <definedNames>
    <definedName name="_xlnm.Print_Titles" localSheetId="0">'за 4 кв. (план)'!$A:$A</definedName>
    <definedName name="_xlnm.Print_Titles" localSheetId="1">'за 4 кв. (факт) (по кодексу)'!$A:$A</definedName>
    <definedName name="_xlnm.Print_Area" localSheetId="0">'за 4 кв. (план)'!$A$1:$AX$40</definedName>
    <definedName name="_xlnm.Print_Area" localSheetId="1">'за 4 кв. (факт) (по кодексу)'!$A$1:$AX$40</definedName>
  </definedNames>
  <calcPr calcId="145621" fullCalcOnLoad="1"/>
</workbook>
</file>

<file path=xl/calcChain.xml><?xml version="1.0" encoding="utf-8"?>
<calcChain xmlns="http://schemas.openxmlformats.org/spreadsheetml/2006/main">
  <c r="AT41" i="2" l="1"/>
  <c r="AS41" i="2"/>
  <c r="AN41" i="2"/>
  <c r="AM41" i="2"/>
  <c r="AE41" i="2"/>
  <c r="AD41" i="2"/>
  <c r="AC41" i="2"/>
  <c r="AB41" i="2"/>
  <c r="AA41" i="2"/>
  <c r="Z41" i="2"/>
  <c r="Y41" i="2"/>
  <c r="T41" i="2"/>
  <c r="S41" i="2"/>
  <c r="R41" i="2"/>
  <c r="M41" i="2"/>
  <c r="L41" i="2"/>
  <c r="K41" i="2"/>
  <c r="J41" i="2"/>
  <c r="I41" i="2"/>
  <c r="D41" i="2"/>
  <c r="C41" i="2"/>
  <c r="B41" i="2"/>
  <c r="BS40" i="2"/>
  <c r="BM40" i="2"/>
  <c r="BQ40" i="2" s="1"/>
  <c r="BF40" i="2"/>
  <c r="BJ40" i="2" s="1"/>
  <c r="BA40" i="2"/>
  <c r="AX40" i="2"/>
  <c r="AV40" i="2"/>
  <c r="AR40" i="2"/>
  <c r="AP40" i="2"/>
  <c r="AI40" i="2"/>
  <c r="AJ40" i="2" s="1"/>
  <c r="AL40" i="2" s="1"/>
  <c r="AF40" i="2"/>
  <c r="AG40" i="2" s="1"/>
  <c r="AH40" i="2" s="1"/>
  <c r="U40" i="2"/>
  <c r="V40" i="2" s="1"/>
  <c r="X40" i="2" s="1"/>
  <c r="O40" i="2"/>
  <c r="Q40" i="2" s="1"/>
  <c r="N40" i="2"/>
  <c r="E40" i="2"/>
  <c r="F40" i="2" s="1"/>
  <c r="H40" i="2" s="1"/>
  <c r="BB40" i="2" s="1"/>
  <c r="BS39" i="2"/>
  <c r="BR39" i="2"/>
  <c r="BN39" i="2"/>
  <c r="BM39" i="2"/>
  <c r="BQ39" i="2" s="1"/>
  <c r="BG39" i="2"/>
  <c r="BF39" i="2"/>
  <c r="BJ39" i="2" s="1"/>
  <c r="BA39" i="2"/>
  <c r="AV39" i="2"/>
  <c r="AX39" i="2" s="1"/>
  <c r="AP39" i="2"/>
  <c r="AR39" i="2" s="1"/>
  <c r="AI39" i="2"/>
  <c r="AJ39" i="2" s="1"/>
  <c r="AL39" i="2" s="1"/>
  <c r="AF39" i="2"/>
  <c r="AG39" i="2" s="1"/>
  <c r="AH39" i="2" s="1"/>
  <c r="U39" i="2"/>
  <c r="V39" i="2" s="1"/>
  <c r="X39" i="2" s="1"/>
  <c r="N39" i="2"/>
  <c r="O39" i="2" s="1"/>
  <c r="Q39" i="2" s="1"/>
  <c r="E39" i="2"/>
  <c r="F39" i="2" s="1"/>
  <c r="H39" i="2" s="1"/>
  <c r="BB39" i="2" s="1"/>
  <c r="BS38" i="2"/>
  <c r="BR38" i="2"/>
  <c r="BN38" i="2"/>
  <c r="BM38" i="2"/>
  <c r="BQ38" i="2" s="1"/>
  <c r="BF38" i="2"/>
  <c r="BJ38" i="2" s="1"/>
  <c r="BA38" i="2"/>
  <c r="AV38" i="2"/>
  <c r="AX38" i="2" s="1"/>
  <c r="AP38" i="2"/>
  <c r="AR38" i="2" s="1"/>
  <c r="AI38" i="2"/>
  <c r="AJ38" i="2" s="1"/>
  <c r="AL38" i="2" s="1"/>
  <c r="AF38" i="2"/>
  <c r="AG38" i="2" s="1"/>
  <c r="AH38" i="2" s="1"/>
  <c r="U38" i="2"/>
  <c r="V38" i="2" s="1"/>
  <c r="X38" i="2" s="1"/>
  <c r="N38" i="2"/>
  <c r="O38" i="2" s="1"/>
  <c r="Q38" i="2" s="1"/>
  <c r="E38" i="2"/>
  <c r="F38" i="2" s="1"/>
  <c r="H38" i="2" s="1"/>
  <c r="BS37" i="2"/>
  <c r="BM37" i="2"/>
  <c r="BQ37" i="2" s="1"/>
  <c r="BF37" i="2"/>
  <c r="BJ37" i="2" s="1"/>
  <c r="BA37" i="2"/>
  <c r="AX37" i="2"/>
  <c r="AW37" i="2"/>
  <c r="AR37" i="2"/>
  <c r="AQ37" i="2"/>
  <c r="AL37" i="2"/>
  <c r="AI37" i="2"/>
  <c r="AK37" i="2" s="1"/>
  <c r="AG37" i="2"/>
  <c r="AH37" i="2" s="1"/>
  <c r="AF37" i="2"/>
  <c r="X37" i="2"/>
  <c r="U37" i="2"/>
  <c r="W37" i="2" s="1"/>
  <c r="P37" i="2"/>
  <c r="Q37" i="2" s="1"/>
  <c r="N37" i="2"/>
  <c r="H37" i="2"/>
  <c r="BB37" i="2" s="1"/>
  <c r="E37" i="2"/>
  <c r="G37" i="2" s="1"/>
  <c r="BS36" i="2"/>
  <c r="BM36" i="2"/>
  <c r="BQ36" i="2" s="1"/>
  <c r="BF36" i="2"/>
  <c r="BJ36" i="2" s="1"/>
  <c r="BA36" i="2"/>
  <c r="AX36" i="2"/>
  <c r="AV36" i="2"/>
  <c r="AR36" i="2"/>
  <c r="AP36" i="2"/>
  <c r="AI36" i="2"/>
  <c r="AJ36" i="2" s="1"/>
  <c r="AL36" i="2" s="1"/>
  <c r="AF36" i="2"/>
  <c r="AG36" i="2" s="1"/>
  <c r="AH36" i="2" s="1"/>
  <c r="U36" i="2"/>
  <c r="V36" i="2" s="1"/>
  <c r="X36" i="2" s="1"/>
  <c r="O36" i="2"/>
  <c r="Q36" i="2" s="1"/>
  <c r="N36" i="2"/>
  <c r="E36" i="2"/>
  <c r="F36" i="2" s="1"/>
  <c r="H36" i="2" s="1"/>
  <c r="BS35" i="2"/>
  <c r="BR35" i="2"/>
  <c r="BN35" i="2"/>
  <c r="BM35" i="2"/>
  <c r="BQ35" i="2" s="1"/>
  <c r="BF35" i="2"/>
  <c r="BJ35" i="2" s="1"/>
  <c r="BA35" i="2"/>
  <c r="AV35" i="2"/>
  <c r="AX35" i="2" s="1"/>
  <c r="AP35" i="2"/>
  <c r="AR35" i="2" s="1"/>
  <c r="AI35" i="2"/>
  <c r="AJ35" i="2" s="1"/>
  <c r="AL35" i="2" s="1"/>
  <c r="AF35" i="2"/>
  <c r="AG35" i="2" s="1"/>
  <c r="AH35" i="2" s="1"/>
  <c r="U35" i="2"/>
  <c r="V35" i="2" s="1"/>
  <c r="X35" i="2" s="1"/>
  <c r="N35" i="2"/>
  <c r="O35" i="2" s="1"/>
  <c r="Q35" i="2" s="1"/>
  <c r="E35" i="2"/>
  <c r="F35" i="2" s="1"/>
  <c r="H35" i="2" s="1"/>
  <c r="BS34" i="2"/>
  <c r="BR34" i="2"/>
  <c r="BN34" i="2"/>
  <c r="BM34" i="2"/>
  <c r="BQ34" i="2" s="1"/>
  <c r="BG34" i="2"/>
  <c r="BF34" i="2"/>
  <c r="BJ34" i="2" s="1"/>
  <c r="BA34" i="2"/>
  <c r="AW34" i="2"/>
  <c r="AX34" i="2" s="1"/>
  <c r="AQ34" i="2"/>
  <c r="AR34" i="2" s="1"/>
  <c r="AI34" i="2"/>
  <c r="AK34" i="2" s="1"/>
  <c r="AL34" i="2" s="1"/>
  <c r="AG34" i="2"/>
  <c r="AH34" i="2" s="1"/>
  <c r="AF34" i="2"/>
  <c r="U34" i="2"/>
  <c r="W34" i="2" s="1"/>
  <c r="X34" i="2" s="1"/>
  <c r="N34" i="2"/>
  <c r="P34" i="2" s="1"/>
  <c r="Q34" i="2" s="1"/>
  <c r="E34" i="2"/>
  <c r="G34" i="2" s="1"/>
  <c r="H34" i="2" s="1"/>
  <c r="BS33" i="2"/>
  <c r="BM33" i="2"/>
  <c r="BQ33" i="2" s="1"/>
  <c r="BF33" i="2"/>
  <c r="BJ33" i="2" s="1"/>
  <c r="BA33" i="2"/>
  <c r="AX33" i="2"/>
  <c r="AV33" i="2"/>
  <c r="AR33" i="2"/>
  <c r="AP33" i="2"/>
  <c r="AI33" i="2"/>
  <c r="AJ33" i="2" s="1"/>
  <c r="AL33" i="2" s="1"/>
  <c r="AF33" i="2"/>
  <c r="AG33" i="2" s="1"/>
  <c r="AH33" i="2" s="1"/>
  <c r="X33" i="2"/>
  <c r="U33" i="2"/>
  <c r="V33" i="2" s="1"/>
  <c r="Q33" i="2"/>
  <c r="N33" i="2"/>
  <c r="O33" i="2" s="1"/>
  <c r="F33" i="2"/>
  <c r="H33" i="2" s="1"/>
  <c r="E33" i="2"/>
  <c r="BS32" i="2"/>
  <c r="BM32" i="2"/>
  <c r="BO32" i="2" s="1"/>
  <c r="BF32" i="2"/>
  <c r="BJ32" i="2" s="1"/>
  <c r="BA32" i="2"/>
  <c r="AV32" i="2"/>
  <c r="AX32" i="2" s="1"/>
  <c r="AP32" i="2"/>
  <c r="AR32" i="2" s="1"/>
  <c r="AI32" i="2"/>
  <c r="AJ32" i="2" s="1"/>
  <c r="AL32" i="2" s="1"/>
  <c r="AF32" i="2"/>
  <c r="AG32" i="2" s="1"/>
  <c r="AH32" i="2" s="1"/>
  <c r="V32" i="2"/>
  <c r="X32" i="2" s="1"/>
  <c r="U32" i="2"/>
  <c r="Q32" i="2"/>
  <c r="N32" i="2"/>
  <c r="O32" i="2" s="1"/>
  <c r="F32" i="2"/>
  <c r="H32" i="2" s="1"/>
  <c r="E32" i="2"/>
  <c r="BS31" i="2"/>
  <c r="BM31" i="2"/>
  <c r="BO31" i="2" s="1"/>
  <c r="BF31" i="2"/>
  <c r="BJ31" i="2" s="1"/>
  <c r="BA31" i="2"/>
  <c r="AW31" i="2"/>
  <c r="AX31" i="2" s="1"/>
  <c r="AQ31" i="2"/>
  <c r="AR31" i="2" s="1"/>
  <c r="AI31" i="2"/>
  <c r="AK31" i="2" s="1"/>
  <c r="AL31" i="2" s="1"/>
  <c r="AF31" i="2"/>
  <c r="AG31" i="2" s="1"/>
  <c r="AH31" i="2" s="1"/>
  <c r="W31" i="2"/>
  <c r="X31" i="2" s="1"/>
  <c r="U31" i="2"/>
  <c r="Q31" i="2"/>
  <c r="N31" i="2"/>
  <c r="P31" i="2" s="1"/>
  <c r="G31" i="2"/>
  <c r="H31" i="2" s="1"/>
  <c r="E31" i="2"/>
  <c r="BS30" i="2"/>
  <c r="BM30" i="2"/>
  <c r="BO30" i="2" s="1"/>
  <c r="BF30" i="2"/>
  <c r="BJ30" i="2" s="1"/>
  <c r="BA30" i="2"/>
  <c r="AW30" i="2"/>
  <c r="AX30" i="2" s="1"/>
  <c r="AQ30" i="2"/>
  <c r="AR30" i="2" s="1"/>
  <c r="AI30" i="2"/>
  <c r="AK30" i="2" s="1"/>
  <c r="AL30" i="2" s="1"/>
  <c r="AF30" i="2"/>
  <c r="AG30" i="2" s="1"/>
  <c r="AH30" i="2" s="1"/>
  <c r="W30" i="2"/>
  <c r="X30" i="2" s="1"/>
  <c r="U30" i="2"/>
  <c r="Q30" i="2"/>
  <c r="N30" i="2"/>
  <c r="P30" i="2" s="1"/>
  <c r="G30" i="2"/>
  <c r="H30" i="2" s="1"/>
  <c r="E30" i="2"/>
  <c r="BS29" i="2"/>
  <c r="BM29" i="2"/>
  <c r="BO29" i="2" s="1"/>
  <c r="BF29" i="2"/>
  <c r="BJ29" i="2" s="1"/>
  <c r="BA29" i="2"/>
  <c r="AV29" i="2"/>
  <c r="AX29" i="2" s="1"/>
  <c r="AP29" i="2"/>
  <c r="AR29" i="2" s="1"/>
  <c r="AI29" i="2"/>
  <c r="AJ29" i="2" s="1"/>
  <c r="AL29" i="2" s="1"/>
  <c r="AF29" i="2"/>
  <c r="AG29" i="2" s="1"/>
  <c r="AH29" i="2" s="1"/>
  <c r="V29" i="2"/>
  <c r="X29" i="2" s="1"/>
  <c r="U29" i="2"/>
  <c r="Q29" i="2"/>
  <c r="N29" i="2"/>
  <c r="O29" i="2" s="1"/>
  <c r="F29" i="2"/>
  <c r="H29" i="2" s="1"/>
  <c r="E29" i="2"/>
  <c r="BS28" i="2"/>
  <c r="BM28" i="2"/>
  <c r="BO28" i="2" s="1"/>
  <c r="BF28" i="2"/>
  <c r="BJ28" i="2" s="1"/>
  <c r="BA28" i="2"/>
  <c r="AV28" i="2"/>
  <c r="AX28" i="2" s="1"/>
  <c r="AP28" i="2"/>
  <c r="AR28" i="2" s="1"/>
  <c r="AI28" i="2"/>
  <c r="AJ28" i="2" s="1"/>
  <c r="AL28" i="2" s="1"/>
  <c r="AF28" i="2"/>
  <c r="AG28" i="2" s="1"/>
  <c r="AH28" i="2" s="1"/>
  <c r="V28" i="2"/>
  <c r="X28" i="2" s="1"/>
  <c r="U28" i="2"/>
  <c r="Q28" i="2"/>
  <c r="N28" i="2"/>
  <c r="O28" i="2" s="1"/>
  <c r="F28" i="2"/>
  <c r="H28" i="2" s="1"/>
  <c r="E28" i="2"/>
  <c r="BS27" i="2"/>
  <c r="BM27" i="2"/>
  <c r="BO27" i="2" s="1"/>
  <c r="BF27" i="2"/>
  <c r="BJ27" i="2" s="1"/>
  <c r="BA27" i="2"/>
  <c r="AV27" i="2"/>
  <c r="AX27" i="2" s="1"/>
  <c r="AP27" i="2"/>
  <c r="AR27" i="2" s="1"/>
  <c r="AI27" i="2"/>
  <c r="AJ27" i="2" s="1"/>
  <c r="AL27" i="2" s="1"/>
  <c r="AF27" i="2"/>
  <c r="AG27" i="2" s="1"/>
  <c r="AH27" i="2" s="1"/>
  <c r="U27" i="2"/>
  <c r="V27" i="2" s="1"/>
  <c r="X27" i="2" s="1"/>
  <c r="Q27" i="2"/>
  <c r="N27" i="2"/>
  <c r="O27" i="2" s="1"/>
  <c r="E27" i="2"/>
  <c r="F27" i="2" s="1"/>
  <c r="H27" i="2" s="1"/>
  <c r="BS26" i="2"/>
  <c r="BM26" i="2"/>
  <c r="BO26" i="2" s="1"/>
  <c r="BF26" i="2"/>
  <c r="BJ26" i="2" s="1"/>
  <c r="BA26" i="2"/>
  <c r="AW26" i="2"/>
  <c r="AX26" i="2" s="1"/>
  <c r="AQ26" i="2"/>
  <c r="AR26" i="2" s="1"/>
  <c r="AI26" i="2"/>
  <c r="AK26" i="2" s="1"/>
  <c r="AL26" i="2" s="1"/>
  <c r="AF26" i="2"/>
  <c r="AG26" i="2" s="1"/>
  <c r="AH26" i="2" s="1"/>
  <c r="W26" i="2"/>
  <c r="X26" i="2" s="1"/>
  <c r="U26" i="2"/>
  <c r="Q26" i="2"/>
  <c r="N26" i="2"/>
  <c r="P26" i="2" s="1"/>
  <c r="G26" i="2"/>
  <c r="H26" i="2" s="1"/>
  <c r="E26" i="2"/>
  <c r="BS25" i="2"/>
  <c r="BM25" i="2"/>
  <c r="BO25" i="2" s="1"/>
  <c r="BF25" i="2"/>
  <c r="BJ25" i="2" s="1"/>
  <c r="BA25" i="2"/>
  <c r="AW25" i="2"/>
  <c r="AX25" i="2" s="1"/>
  <c r="AQ25" i="2"/>
  <c r="AR25" i="2" s="1"/>
  <c r="AI25" i="2"/>
  <c r="AK25" i="2" s="1"/>
  <c r="AL25" i="2" s="1"/>
  <c r="AF25" i="2"/>
  <c r="AG25" i="2" s="1"/>
  <c r="AH25" i="2" s="1"/>
  <c r="W25" i="2"/>
  <c r="X25" i="2" s="1"/>
  <c r="U25" i="2"/>
  <c r="Q25" i="2"/>
  <c r="N25" i="2"/>
  <c r="P25" i="2" s="1"/>
  <c r="G25" i="2"/>
  <c r="H25" i="2" s="1"/>
  <c r="E25" i="2"/>
  <c r="BS24" i="2"/>
  <c r="BM24" i="2"/>
  <c r="BO24" i="2" s="1"/>
  <c r="BF24" i="2"/>
  <c r="BJ24" i="2" s="1"/>
  <c r="BA24" i="2"/>
  <c r="AV24" i="2"/>
  <c r="AX24" i="2" s="1"/>
  <c r="AP24" i="2"/>
  <c r="AR24" i="2" s="1"/>
  <c r="AI24" i="2"/>
  <c r="AJ24" i="2" s="1"/>
  <c r="AL24" i="2" s="1"/>
  <c r="AF24" i="2"/>
  <c r="AG24" i="2" s="1"/>
  <c r="AH24" i="2" s="1"/>
  <c r="V24" i="2"/>
  <c r="X24" i="2" s="1"/>
  <c r="U24" i="2"/>
  <c r="Q24" i="2"/>
  <c r="N24" i="2"/>
  <c r="O24" i="2" s="1"/>
  <c r="F24" i="2"/>
  <c r="H24" i="2" s="1"/>
  <c r="E24" i="2"/>
  <c r="BS23" i="2"/>
  <c r="BM23" i="2"/>
  <c r="BO23" i="2" s="1"/>
  <c r="BF23" i="2"/>
  <c r="BJ23" i="2" s="1"/>
  <c r="BA23" i="2"/>
  <c r="AV23" i="2"/>
  <c r="AX23" i="2" s="1"/>
  <c r="AP23" i="2"/>
  <c r="AR23" i="2" s="1"/>
  <c r="AI23" i="2"/>
  <c r="AJ23" i="2" s="1"/>
  <c r="AL23" i="2" s="1"/>
  <c r="AF23" i="2"/>
  <c r="AG23" i="2" s="1"/>
  <c r="AH23" i="2" s="1"/>
  <c r="V23" i="2"/>
  <c r="X23" i="2" s="1"/>
  <c r="U23" i="2"/>
  <c r="Q23" i="2"/>
  <c r="N23" i="2"/>
  <c r="O23" i="2" s="1"/>
  <c r="F23" i="2"/>
  <c r="H23" i="2" s="1"/>
  <c r="E23" i="2"/>
  <c r="BS22" i="2"/>
  <c r="BM22" i="2"/>
  <c r="BO22" i="2" s="1"/>
  <c r="BF22" i="2"/>
  <c r="BA22" i="2"/>
  <c r="AV22" i="2"/>
  <c r="AX22" i="2" s="1"/>
  <c r="AP22" i="2"/>
  <c r="AR22" i="2" s="1"/>
  <c r="AI22" i="2"/>
  <c r="AJ22" i="2" s="1"/>
  <c r="AL22" i="2" s="1"/>
  <c r="AF22" i="2"/>
  <c r="AG22" i="2" s="1"/>
  <c r="AH22" i="2" s="1"/>
  <c r="U22" i="2"/>
  <c r="V22" i="2" s="1"/>
  <c r="X22" i="2" s="1"/>
  <c r="N22" i="2"/>
  <c r="O22" i="2" s="1"/>
  <c r="Q22" i="2" s="1"/>
  <c r="E22" i="2"/>
  <c r="F22" i="2" s="1"/>
  <c r="H22" i="2" s="1"/>
  <c r="BB22" i="2" s="1"/>
  <c r="BS21" i="2"/>
  <c r="BO21" i="2"/>
  <c r="BM21" i="2"/>
  <c r="BF21" i="2"/>
  <c r="BA21" i="2"/>
  <c r="AV21" i="2"/>
  <c r="AX21" i="2" s="1"/>
  <c r="AP21" i="2"/>
  <c r="AR21" i="2" s="1"/>
  <c r="AI21" i="2"/>
  <c r="AJ21" i="2" s="1"/>
  <c r="AL21" i="2" s="1"/>
  <c r="AF21" i="2"/>
  <c r="AG21" i="2" s="1"/>
  <c r="AH21" i="2" s="1"/>
  <c r="V21" i="2"/>
  <c r="X21" i="2" s="1"/>
  <c r="U21" i="2"/>
  <c r="Q21" i="2"/>
  <c r="N21" i="2"/>
  <c r="O21" i="2" s="1"/>
  <c r="F21" i="2"/>
  <c r="H21" i="2" s="1"/>
  <c r="E21" i="2"/>
  <c r="BS20" i="2"/>
  <c r="BM20" i="2"/>
  <c r="BO20" i="2" s="1"/>
  <c r="BF20" i="2"/>
  <c r="BA20" i="2"/>
  <c r="AW20" i="2"/>
  <c r="AX20" i="2" s="1"/>
  <c r="AQ20" i="2"/>
  <c r="AR20" i="2" s="1"/>
  <c r="AI20" i="2"/>
  <c r="AK20" i="2" s="1"/>
  <c r="AL20" i="2" s="1"/>
  <c r="AF20" i="2"/>
  <c r="AG20" i="2" s="1"/>
  <c r="AH20" i="2" s="1"/>
  <c r="U20" i="2"/>
  <c r="W20" i="2" s="1"/>
  <c r="X20" i="2" s="1"/>
  <c r="N20" i="2"/>
  <c r="P20" i="2" s="1"/>
  <c r="Q20" i="2" s="1"/>
  <c r="E20" i="2"/>
  <c r="G20" i="2" s="1"/>
  <c r="H20" i="2" s="1"/>
  <c r="BB20" i="2" s="1"/>
  <c r="BS19" i="2"/>
  <c r="BO19" i="2"/>
  <c r="BM19" i="2"/>
  <c r="BF19" i="2"/>
  <c r="BA19" i="2"/>
  <c r="AV19" i="2"/>
  <c r="AX19" i="2" s="1"/>
  <c r="AP19" i="2"/>
  <c r="AR19" i="2" s="1"/>
  <c r="AI19" i="2"/>
  <c r="AJ19" i="2" s="1"/>
  <c r="AL19" i="2" s="1"/>
  <c r="AF19" i="2"/>
  <c r="AG19" i="2" s="1"/>
  <c r="AH19" i="2" s="1"/>
  <c r="V19" i="2"/>
  <c r="X19" i="2" s="1"/>
  <c r="U19" i="2"/>
  <c r="Q19" i="2"/>
  <c r="N19" i="2"/>
  <c r="O19" i="2" s="1"/>
  <c r="F19" i="2"/>
  <c r="H19" i="2" s="1"/>
  <c r="E19" i="2"/>
  <c r="BS18" i="2"/>
  <c r="BM18" i="2"/>
  <c r="BO18" i="2" s="1"/>
  <c r="BF18" i="2"/>
  <c r="BA18" i="2"/>
  <c r="AW18" i="2"/>
  <c r="AX18" i="2" s="1"/>
  <c r="AQ18" i="2"/>
  <c r="AR18" i="2" s="1"/>
  <c r="AI18" i="2"/>
  <c r="AK18" i="2" s="1"/>
  <c r="AL18" i="2" s="1"/>
  <c r="AF18" i="2"/>
  <c r="AG18" i="2" s="1"/>
  <c r="AH18" i="2" s="1"/>
  <c r="U18" i="2"/>
  <c r="W18" i="2" s="1"/>
  <c r="X18" i="2" s="1"/>
  <c r="N18" i="2"/>
  <c r="P18" i="2" s="1"/>
  <c r="Q18" i="2" s="1"/>
  <c r="G18" i="2"/>
  <c r="H18" i="2" s="1"/>
  <c r="BB18" i="2" s="1"/>
  <c r="E18" i="2"/>
  <c r="BS17" i="2"/>
  <c r="BM17" i="2"/>
  <c r="BO17" i="2" s="1"/>
  <c r="BF17" i="2"/>
  <c r="BA17" i="2"/>
  <c r="AV17" i="2"/>
  <c r="AX17" i="2" s="1"/>
  <c r="AP17" i="2"/>
  <c r="AR17" i="2" s="1"/>
  <c r="AI17" i="2"/>
  <c r="AJ17" i="2" s="1"/>
  <c r="AL17" i="2" s="1"/>
  <c r="AF17" i="2"/>
  <c r="AG17" i="2" s="1"/>
  <c r="AH17" i="2" s="1"/>
  <c r="U17" i="2"/>
  <c r="V17" i="2" s="1"/>
  <c r="X17" i="2" s="1"/>
  <c r="N17" i="2"/>
  <c r="O17" i="2" s="1"/>
  <c r="Q17" i="2" s="1"/>
  <c r="E17" i="2"/>
  <c r="F17" i="2" s="1"/>
  <c r="H17" i="2" s="1"/>
  <c r="BB17" i="2" s="1"/>
  <c r="BS16" i="2"/>
  <c r="BO16" i="2"/>
  <c r="BM16" i="2"/>
  <c r="BF16" i="2"/>
  <c r="BA16" i="2"/>
  <c r="AV16" i="2"/>
  <c r="AX16" i="2" s="1"/>
  <c r="AP16" i="2"/>
  <c r="AR16" i="2" s="1"/>
  <c r="AI16" i="2"/>
  <c r="AJ16" i="2" s="1"/>
  <c r="AL16" i="2" s="1"/>
  <c r="AF16" i="2"/>
  <c r="AG16" i="2" s="1"/>
  <c r="AH16" i="2" s="1"/>
  <c r="V16" i="2"/>
  <c r="X16" i="2" s="1"/>
  <c r="U16" i="2"/>
  <c r="Q16" i="2"/>
  <c r="N16" i="2"/>
  <c r="O16" i="2" s="1"/>
  <c r="F16" i="2"/>
  <c r="H16" i="2" s="1"/>
  <c r="E16" i="2"/>
  <c r="BS15" i="2"/>
  <c r="BM15" i="2"/>
  <c r="BO15" i="2" s="1"/>
  <c r="BF15" i="2"/>
  <c r="BA15" i="2"/>
  <c r="AV15" i="2"/>
  <c r="AX15" i="2" s="1"/>
  <c r="AP15" i="2"/>
  <c r="AR15" i="2" s="1"/>
  <c r="AI15" i="2"/>
  <c r="AJ15" i="2" s="1"/>
  <c r="AL15" i="2" s="1"/>
  <c r="AF15" i="2"/>
  <c r="AG15" i="2" s="1"/>
  <c r="AH15" i="2" s="1"/>
  <c r="U15" i="2"/>
  <c r="V15" i="2" s="1"/>
  <c r="X15" i="2" s="1"/>
  <c r="N15" i="2"/>
  <c r="O15" i="2" s="1"/>
  <c r="Q15" i="2" s="1"/>
  <c r="E15" i="2"/>
  <c r="F15" i="2" s="1"/>
  <c r="H15" i="2" s="1"/>
  <c r="BB15" i="2" s="1"/>
  <c r="BS14" i="2"/>
  <c r="BO14" i="2"/>
  <c r="BM14" i="2"/>
  <c r="BF14" i="2"/>
  <c r="BA14" i="2"/>
  <c r="AV14" i="2"/>
  <c r="AX14" i="2" s="1"/>
  <c r="AP14" i="2"/>
  <c r="AR14" i="2" s="1"/>
  <c r="AI14" i="2"/>
  <c r="AJ14" i="2" s="1"/>
  <c r="AL14" i="2" s="1"/>
  <c r="AF14" i="2"/>
  <c r="AG14" i="2" s="1"/>
  <c r="AH14" i="2" s="1"/>
  <c r="V14" i="2"/>
  <c r="X14" i="2" s="1"/>
  <c r="U14" i="2"/>
  <c r="Q14" i="2"/>
  <c r="N14" i="2"/>
  <c r="O14" i="2" s="1"/>
  <c r="F14" i="2"/>
  <c r="H14" i="2" s="1"/>
  <c r="E14" i="2"/>
  <c r="BS13" i="2"/>
  <c r="BM13" i="2"/>
  <c r="BO13" i="2" s="1"/>
  <c r="BF13" i="2"/>
  <c r="BA13" i="2"/>
  <c r="AV13" i="2"/>
  <c r="AX13" i="2" s="1"/>
  <c r="AP13" i="2"/>
  <c r="AR13" i="2" s="1"/>
  <c r="AI13" i="2"/>
  <c r="AJ13" i="2" s="1"/>
  <c r="AL13" i="2" s="1"/>
  <c r="AF13" i="2"/>
  <c r="AG13" i="2" s="1"/>
  <c r="AH13" i="2" s="1"/>
  <c r="U13" i="2"/>
  <c r="V13" i="2" s="1"/>
  <c r="X13" i="2" s="1"/>
  <c r="N13" i="2"/>
  <c r="O13" i="2" s="1"/>
  <c r="Q13" i="2" s="1"/>
  <c r="E13" i="2"/>
  <c r="F13" i="2" s="1"/>
  <c r="H13" i="2" s="1"/>
  <c r="BB13" i="2" s="1"/>
  <c r="BS12" i="2"/>
  <c r="BO12" i="2"/>
  <c r="BM12" i="2"/>
  <c r="BF12" i="2"/>
  <c r="BA12" i="2"/>
  <c r="AV12" i="2"/>
  <c r="AX12" i="2" s="1"/>
  <c r="AP12" i="2"/>
  <c r="AR12" i="2" s="1"/>
  <c r="AI12" i="2"/>
  <c r="AJ12" i="2" s="1"/>
  <c r="AL12" i="2" s="1"/>
  <c r="AF12" i="2"/>
  <c r="AG12" i="2" s="1"/>
  <c r="AH12" i="2" s="1"/>
  <c r="V12" i="2"/>
  <c r="X12" i="2" s="1"/>
  <c r="U12" i="2"/>
  <c r="Q12" i="2"/>
  <c r="N12" i="2"/>
  <c r="O12" i="2" s="1"/>
  <c r="F12" i="2"/>
  <c r="H12" i="2" s="1"/>
  <c r="E12" i="2"/>
  <c r="BS11" i="2"/>
  <c r="BM11" i="2"/>
  <c r="BO11" i="2" s="1"/>
  <c r="BF11" i="2"/>
  <c r="BA11" i="2"/>
  <c r="AV11" i="2"/>
  <c r="AX11" i="2" s="1"/>
  <c r="AP11" i="2"/>
  <c r="AR11" i="2" s="1"/>
  <c r="AI11" i="2"/>
  <c r="AJ11" i="2" s="1"/>
  <c r="AL11" i="2" s="1"/>
  <c r="AF11" i="2"/>
  <c r="AG11" i="2" s="1"/>
  <c r="AH11" i="2" s="1"/>
  <c r="U11" i="2"/>
  <c r="V11" i="2" s="1"/>
  <c r="X11" i="2" s="1"/>
  <c r="N11" i="2"/>
  <c r="O11" i="2" s="1"/>
  <c r="Q11" i="2" s="1"/>
  <c r="E11" i="2"/>
  <c r="F11" i="2" s="1"/>
  <c r="H11" i="2" s="1"/>
  <c r="BB11" i="2" s="1"/>
  <c r="BS10" i="2"/>
  <c r="BO10" i="2"/>
  <c r="BM10" i="2"/>
  <c r="BF10" i="2"/>
  <c r="BA10" i="2"/>
  <c r="AV10" i="2"/>
  <c r="AX10" i="2" s="1"/>
  <c r="AP10" i="2"/>
  <c r="AR10" i="2" s="1"/>
  <c r="AI10" i="2"/>
  <c r="AJ10" i="2" s="1"/>
  <c r="AL10" i="2" s="1"/>
  <c r="AF10" i="2"/>
  <c r="AG10" i="2" s="1"/>
  <c r="AH10" i="2" s="1"/>
  <c r="V10" i="2"/>
  <c r="X10" i="2" s="1"/>
  <c r="U10" i="2"/>
  <c r="Q10" i="2"/>
  <c r="N10" i="2"/>
  <c r="O10" i="2" s="1"/>
  <c r="F10" i="2"/>
  <c r="H10" i="2" s="1"/>
  <c r="E10" i="2"/>
  <c r="AT41" i="1"/>
  <c r="AS41" i="1"/>
  <c r="AN41" i="1"/>
  <c r="AM41" i="1"/>
  <c r="AB41" i="1"/>
  <c r="AA41" i="1"/>
  <c r="Z41" i="1"/>
  <c r="T41" i="1"/>
  <c r="S41" i="1"/>
  <c r="R41" i="1"/>
  <c r="M41" i="1"/>
  <c r="L41" i="1"/>
  <c r="K41" i="1"/>
  <c r="J41" i="1"/>
  <c r="I41" i="1"/>
  <c r="D41" i="1"/>
  <c r="C41" i="1"/>
  <c r="B41" i="1"/>
  <c r="BS40" i="1"/>
  <c r="BM40" i="1"/>
  <c r="BO40" i="1" s="1"/>
  <c r="BA40" i="1"/>
  <c r="AV40" i="1"/>
  <c r="AX40" i="1" s="1"/>
  <c r="AP40" i="1"/>
  <c r="AR40" i="1" s="1"/>
  <c r="AE40" i="1"/>
  <c r="AD40" i="1"/>
  <c r="BF40" i="1" s="1"/>
  <c r="AC40" i="1"/>
  <c r="Y40" i="1"/>
  <c r="AI40" i="1" s="1"/>
  <c r="AJ40" i="1" s="1"/>
  <c r="AL40" i="1" s="1"/>
  <c r="U40" i="1"/>
  <c r="V40" i="1" s="1"/>
  <c r="X40" i="1" s="1"/>
  <c r="N40" i="1"/>
  <c r="O40" i="1" s="1"/>
  <c r="Q40" i="1" s="1"/>
  <c r="F40" i="1"/>
  <c r="H40" i="1" s="1"/>
  <c r="E40" i="1"/>
  <c r="BS39" i="1"/>
  <c r="BM39" i="1"/>
  <c r="BA39" i="1"/>
  <c r="AV39" i="1"/>
  <c r="AX39" i="1" s="1"/>
  <c r="AP39" i="1"/>
  <c r="AR39" i="1" s="1"/>
  <c r="AE39" i="1"/>
  <c r="AD39" i="1"/>
  <c r="BF39" i="1" s="1"/>
  <c r="AC39" i="1"/>
  <c r="Y39" i="1"/>
  <c r="AI39" i="1" s="1"/>
  <c r="AJ39" i="1" s="1"/>
  <c r="AL39" i="1" s="1"/>
  <c r="U39" i="1"/>
  <c r="V39" i="1" s="1"/>
  <c r="X39" i="1" s="1"/>
  <c r="N39" i="1"/>
  <c r="O39" i="1" s="1"/>
  <c r="Q39" i="1" s="1"/>
  <c r="E39" i="1"/>
  <c r="F39" i="1" s="1"/>
  <c r="H39" i="1" s="1"/>
  <c r="BS38" i="1"/>
  <c r="BO38" i="1"/>
  <c r="BM38" i="1"/>
  <c r="BA38" i="1"/>
  <c r="AV38" i="1"/>
  <c r="AX38" i="1" s="1"/>
  <c r="AP38" i="1"/>
  <c r="AR38" i="1" s="1"/>
  <c r="AE38" i="1"/>
  <c r="AD38" i="1"/>
  <c r="BF38" i="1" s="1"/>
  <c r="AC38" i="1"/>
  <c r="Y38" i="1"/>
  <c r="AI38" i="1" s="1"/>
  <c r="AJ38" i="1" s="1"/>
  <c r="AL38" i="1" s="1"/>
  <c r="U38" i="1"/>
  <c r="V38" i="1" s="1"/>
  <c r="X38" i="1" s="1"/>
  <c r="N38" i="1"/>
  <c r="O38" i="1" s="1"/>
  <c r="Q38" i="1" s="1"/>
  <c r="F38" i="1"/>
  <c r="H38" i="1" s="1"/>
  <c r="E38" i="1"/>
  <c r="BS37" i="1"/>
  <c r="BM37" i="1"/>
  <c r="BA37" i="1"/>
  <c r="AW37" i="1"/>
  <c r="AX37" i="1" s="1"/>
  <c r="AQ37" i="1"/>
  <c r="AR37" i="1" s="1"/>
  <c r="AE37" i="1"/>
  <c r="AD37" i="1"/>
  <c r="BF37" i="1" s="1"/>
  <c r="AC37" i="1"/>
  <c r="Y37" i="1"/>
  <c r="AI37" i="1" s="1"/>
  <c r="AK37" i="1" s="1"/>
  <c r="AL37" i="1" s="1"/>
  <c r="U37" i="1"/>
  <c r="W37" i="1" s="1"/>
  <c r="X37" i="1" s="1"/>
  <c r="N37" i="1"/>
  <c r="P37" i="1" s="1"/>
  <c r="Q37" i="1" s="1"/>
  <c r="E37" i="1"/>
  <c r="G37" i="1" s="1"/>
  <c r="H37" i="1" s="1"/>
  <c r="BS36" i="1"/>
  <c r="BO36" i="1"/>
  <c r="BM36" i="1"/>
  <c r="BA36" i="1"/>
  <c r="AV36" i="1"/>
  <c r="AX36" i="1" s="1"/>
  <c r="AP36" i="1"/>
  <c r="AR36" i="1" s="1"/>
  <c r="AE36" i="1"/>
  <c r="AD36" i="1"/>
  <c r="BF36" i="1" s="1"/>
  <c r="AC36" i="1"/>
  <c r="Y36" i="1"/>
  <c r="AI36" i="1" s="1"/>
  <c r="AJ36" i="1" s="1"/>
  <c r="AL36" i="1" s="1"/>
  <c r="U36" i="1"/>
  <c r="V36" i="1" s="1"/>
  <c r="X36" i="1" s="1"/>
  <c r="N36" i="1"/>
  <c r="O36" i="1" s="1"/>
  <c r="Q36" i="1" s="1"/>
  <c r="F36" i="1"/>
  <c r="H36" i="1" s="1"/>
  <c r="E36" i="1"/>
  <c r="BS35" i="1"/>
  <c r="BM35" i="1"/>
  <c r="BA35" i="1"/>
  <c r="AV35" i="1"/>
  <c r="AX35" i="1" s="1"/>
  <c r="AP35" i="1"/>
  <c r="AR35" i="1" s="1"/>
  <c r="AE35" i="1"/>
  <c r="AD35" i="1"/>
  <c r="BF35" i="1" s="1"/>
  <c r="AC35" i="1"/>
  <c r="Y35" i="1"/>
  <c r="AI35" i="1" s="1"/>
  <c r="AJ35" i="1" s="1"/>
  <c r="AL35" i="1" s="1"/>
  <c r="U35" i="1"/>
  <c r="V35" i="1" s="1"/>
  <c r="X35" i="1" s="1"/>
  <c r="N35" i="1"/>
  <c r="O35" i="1" s="1"/>
  <c r="Q35" i="1" s="1"/>
  <c r="E35" i="1"/>
  <c r="F35" i="1" s="1"/>
  <c r="H35" i="1" s="1"/>
  <c r="BS34" i="1"/>
  <c r="BO34" i="1"/>
  <c r="BM34" i="1"/>
  <c r="BA34" i="1"/>
  <c r="AW34" i="1"/>
  <c r="AX34" i="1" s="1"/>
  <c r="AQ34" i="1"/>
  <c r="AR34" i="1" s="1"/>
  <c r="AE34" i="1"/>
  <c r="AD34" i="1"/>
  <c r="BF34" i="1" s="1"/>
  <c r="AC34" i="1"/>
  <c r="Y34" i="1"/>
  <c r="AI34" i="1" s="1"/>
  <c r="AK34" i="1" s="1"/>
  <c r="AL34" i="1" s="1"/>
  <c r="U34" i="1"/>
  <c r="W34" i="1" s="1"/>
  <c r="X34" i="1" s="1"/>
  <c r="N34" i="1"/>
  <c r="P34" i="1" s="1"/>
  <c r="Q34" i="1" s="1"/>
  <c r="G34" i="1"/>
  <c r="H34" i="1" s="1"/>
  <c r="E34" i="1"/>
  <c r="BS33" i="1"/>
  <c r="BM33" i="1"/>
  <c r="BA33" i="1"/>
  <c r="AV33" i="1"/>
  <c r="AX33" i="1" s="1"/>
  <c r="AP33" i="1"/>
  <c r="AR33" i="1" s="1"/>
  <c r="AE33" i="1"/>
  <c r="AD33" i="1"/>
  <c r="BF33" i="1" s="1"/>
  <c r="AC33" i="1"/>
  <c r="Y33" i="1"/>
  <c r="AI33" i="1" s="1"/>
  <c r="AJ33" i="1" s="1"/>
  <c r="AL33" i="1" s="1"/>
  <c r="U33" i="1"/>
  <c r="V33" i="1" s="1"/>
  <c r="X33" i="1" s="1"/>
  <c r="N33" i="1"/>
  <c r="O33" i="1" s="1"/>
  <c r="Q33" i="1" s="1"/>
  <c r="F33" i="1"/>
  <c r="H33" i="1" s="1"/>
  <c r="E33" i="1"/>
  <c r="BS32" i="1"/>
  <c r="BM32" i="1"/>
  <c r="BR32" i="1" s="1"/>
  <c r="BA32" i="1"/>
  <c r="AV32" i="1"/>
  <c r="AX32" i="1" s="1"/>
  <c r="AP32" i="1"/>
  <c r="AR32" i="1" s="1"/>
  <c r="AE32" i="1"/>
  <c r="AD32" i="1"/>
  <c r="BF32" i="1" s="1"/>
  <c r="AC32" i="1"/>
  <c r="Y32" i="1"/>
  <c r="AI32" i="1" s="1"/>
  <c r="AJ32" i="1" s="1"/>
  <c r="AL32" i="1" s="1"/>
  <c r="U32" i="1"/>
  <c r="V32" i="1" s="1"/>
  <c r="X32" i="1" s="1"/>
  <c r="N32" i="1"/>
  <c r="O32" i="1" s="1"/>
  <c r="Q32" i="1" s="1"/>
  <c r="F32" i="1"/>
  <c r="H32" i="1" s="1"/>
  <c r="E32" i="1"/>
  <c r="BS31" i="1"/>
  <c r="BM31" i="1"/>
  <c r="BR31" i="1" s="1"/>
  <c r="BA31" i="1"/>
  <c r="AW31" i="1"/>
  <c r="AX31" i="1" s="1"/>
  <c r="AQ31" i="1"/>
  <c r="AR31" i="1" s="1"/>
  <c r="AE31" i="1"/>
  <c r="AD31" i="1"/>
  <c r="BF31" i="1" s="1"/>
  <c r="AC31" i="1"/>
  <c r="Y31" i="1"/>
  <c r="AI31" i="1" s="1"/>
  <c r="AK31" i="1" s="1"/>
  <c r="AL31" i="1" s="1"/>
  <c r="U31" i="1"/>
  <c r="W31" i="1" s="1"/>
  <c r="X31" i="1" s="1"/>
  <c r="N31" i="1"/>
  <c r="P31" i="1" s="1"/>
  <c r="Q31" i="1" s="1"/>
  <c r="G31" i="1"/>
  <c r="H31" i="1" s="1"/>
  <c r="E31" i="1"/>
  <c r="BS30" i="1"/>
  <c r="BM30" i="1"/>
  <c r="BR30" i="1" s="1"/>
  <c r="BA30" i="1"/>
  <c r="AW30" i="1"/>
  <c r="AX30" i="1" s="1"/>
  <c r="AQ30" i="1"/>
  <c r="AR30" i="1" s="1"/>
  <c r="AE30" i="1"/>
  <c r="AD30" i="1"/>
  <c r="BF30" i="1" s="1"/>
  <c r="AC30" i="1"/>
  <c r="Y30" i="1"/>
  <c r="AI30" i="1" s="1"/>
  <c r="AK30" i="1" s="1"/>
  <c r="AL30" i="1" s="1"/>
  <c r="U30" i="1"/>
  <c r="W30" i="1" s="1"/>
  <c r="X30" i="1" s="1"/>
  <c r="N30" i="1"/>
  <c r="P30" i="1" s="1"/>
  <c r="Q30" i="1" s="1"/>
  <c r="G30" i="1"/>
  <c r="H30" i="1" s="1"/>
  <c r="E30" i="1"/>
  <c r="BS29" i="1"/>
  <c r="BM29" i="1"/>
  <c r="BR29" i="1" s="1"/>
  <c r="BA29" i="1"/>
  <c r="AV29" i="1"/>
  <c r="AX29" i="1" s="1"/>
  <c r="AP29" i="1"/>
  <c r="AR29" i="1" s="1"/>
  <c r="AE29" i="1"/>
  <c r="AD29" i="1"/>
  <c r="BF29" i="1" s="1"/>
  <c r="AC29" i="1"/>
  <c r="Y29" i="1"/>
  <c r="AI29" i="1" s="1"/>
  <c r="AJ29" i="1" s="1"/>
  <c r="AL29" i="1" s="1"/>
  <c r="U29" i="1"/>
  <c r="V29" i="1" s="1"/>
  <c r="X29" i="1" s="1"/>
  <c r="N29" i="1"/>
  <c r="O29" i="1" s="1"/>
  <c r="Q29" i="1" s="1"/>
  <c r="F29" i="1"/>
  <c r="H29" i="1" s="1"/>
  <c r="E29" i="1"/>
  <c r="BS28" i="1"/>
  <c r="BM28" i="1"/>
  <c r="BR28" i="1" s="1"/>
  <c r="BA28" i="1"/>
  <c r="AV28" i="1"/>
  <c r="AX28" i="1" s="1"/>
  <c r="AP28" i="1"/>
  <c r="AR28" i="1" s="1"/>
  <c r="AE28" i="1"/>
  <c r="AD28" i="1"/>
  <c r="BF28" i="1" s="1"/>
  <c r="AC28" i="1"/>
  <c r="Y28" i="1"/>
  <c r="AI28" i="1" s="1"/>
  <c r="AJ28" i="1" s="1"/>
  <c r="AL28" i="1" s="1"/>
  <c r="U28" i="1"/>
  <c r="V28" i="1" s="1"/>
  <c r="X28" i="1" s="1"/>
  <c r="N28" i="1"/>
  <c r="O28" i="1" s="1"/>
  <c r="Q28" i="1" s="1"/>
  <c r="F28" i="1"/>
  <c r="H28" i="1" s="1"/>
  <c r="E28" i="1"/>
  <c r="BS27" i="1"/>
  <c r="BM27" i="1"/>
  <c r="BR27" i="1" s="1"/>
  <c r="BA27" i="1"/>
  <c r="AV27" i="1"/>
  <c r="AX27" i="1" s="1"/>
  <c r="AP27" i="1"/>
  <c r="AR27" i="1" s="1"/>
  <c r="AE27" i="1"/>
  <c r="AD27" i="1"/>
  <c r="BF27" i="1" s="1"/>
  <c r="AC27" i="1"/>
  <c r="Y27" i="1"/>
  <c r="AI27" i="1" s="1"/>
  <c r="AJ27" i="1" s="1"/>
  <c r="AL27" i="1" s="1"/>
  <c r="U27" i="1"/>
  <c r="V27" i="1" s="1"/>
  <c r="X27" i="1" s="1"/>
  <c r="N27" i="1"/>
  <c r="O27" i="1" s="1"/>
  <c r="Q27" i="1" s="1"/>
  <c r="F27" i="1"/>
  <c r="H27" i="1" s="1"/>
  <c r="E27" i="1"/>
  <c r="BS26" i="1"/>
  <c r="BM26" i="1"/>
  <c r="BR26" i="1" s="1"/>
  <c r="BA26" i="1"/>
  <c r="AW26" i="1"/>
  <c r="AX26" i="1" s="1"/>
  <c r="AQ26" i="1"/>
  <c r="AR26" i="1" s="1"/>
  <c r="AE26" i="1"/>
  <c r="AD26" i="1"/>
  <c r="BF26" i="1" s="1"/>
  <c r="AC26" i="1"/>
  <c r="Y26" i="1"/>
  <c r="AI26" i="1" s="1"/>
  <c r="AK26" i="1" s="1"/>
  <c r="AL26" i="1" s="1"/>
  <c r="U26" i="1"/>
  <c r="W26" i="1" s="1"/>
  <c r="X26" i="1" s="1"/>
  <c r="N26" i="1"/>
  <c r="P26" i="1" s="1"/>
  <c r="Q26" i="1" s="1"/>
  <c r="G26" i="1"/>
  <c r="H26" i="1" s="1"/>
  <c r="E26" i="1"/>
  <c r="BS25" i="1"/>
  <c r="BM25" i="1"/>
  <c r="BR25" i="1" s="1"/>
  <c r="BA25" i="1"/>
  <c r="AW25" i="1"/>
  <c r="AX25" i="1" s="1"/>
  <c r="AQ25" i="1"/>
  <c r="AR25" i="1" s="1"/>
  <c r="AE25" i="1"/>
  <c r="AD25" i="1"/>
  <c r="BF25" i="1" s="1"/>
  <c r="AC25" i="1"/>
  <c r="Y25" i="1"/>
  <c r="AI25" i="1" s="1"/>
  <c r="AK25" i="1" s="1"/>
  <c r="AL25" i="1" s="1"/>
  <c r="U25" i="1"/>
  <c r="W25" i="1" s="1"/>
  <c r="X25" i="1" s="1"/>
  <c r="N25" i="1"/>
  <c r="P25" i="1" s="1"/>
  <c r="Q25" i="1" s="1"/>
  <c r="G25" i="1"/>
  <c r="H25" i="1" s="1"/>
  <c r="E25" i="1"/>
  <c r="BS24" i="1"/>
  <c r="BM24" i="1"/>
  <c r="BR24" i="1" s="1"/>
  <c r="BA24" i="1"/>
  <c r="AV24" i="1"/>
  <c r="AX24" i="1" s="1"/>
  <c r="AP24" i="1"/>
  <c r="AR24" i="1" s="1"/>
  <c r="AE24" i="1"/>
  <c r="AD24" i="1"/>
  <c r="BF24" i="1" s="1"/>
  <c r="AC24" i="1"/>
  <c r="Y24" i="1"/>
  <c r="AI24" i="1" s="1"/>
  <c r="AJ24" i="1" s="1"/>
  <c r="AL24" i="1" s="1"/>
  <c r="U24" i="1"/>
  <c r="V24" i="1" s="1"/>
  <c r="X24" i="1" s="1"/>
  <c r="N24" i="1"/>
  <c r="O24" i="1" s="1"/>
  <c r="Q24" i="1" s="1"/>
  <c r="F24" i="1"/>
  <c r="H24" i="1" s="1"/>
  <c r="E24" i="1"/>
  <c r="BS23" i="1"/>
  <c r="BM23" i="1"/>
  <c r="BR23" i="1" s="1"/>
  <c r="BA23" i="1"/>
  <c r="AV23" i="1"/>
  <c r="AX23" i="1" s="1"/>
  <c r="AP23" i="1"/>
  <c r="AR23" i="1" s="1"/>
  <c r="AE23" i="1"/>
  <c r="AD23" i="1"/>
  <c r="BF23" i="1" s="1"/>
  <c r="AC23" i="1"/>
  <c r="Y23" i="1"/>
  <c r="AI23" i="1" s="1"/>
  <c r="AJ23" i="1" s="1"/>
  <c r="AL23" i="1" s="1"/>
  <c r="U23" i="1"/>
  <c r="V23" i="1" s="1"/>
  <c r="X23" i="1" s="1"/>
  <c r="N23" i="1"/>
  <c r="O23" i="1" s="1"/>
  <c r="Q23" i="1" s="1"/>
  <c r="F23" i="1"/>
  <c r="H23" i="1" s="1"/>
  <c r="E23" i="1"/>
  <c r="BS22" i="1"/>
  <c r="BM22" i="1"/>
  <c r="BR22" i="1" s="1"/>
  <c r="BA22" i="1"/>
  <c r="AV22" i="1"/>
  <c r="AX22" i="1" s="1"/>
  <c r="AP22" i="1"/>
  <c r="AR22" i="1" s="1"/>
  <c r="AE22" i="1"/>
  <c r="AD22" i="1"/>
  <c r="BF22" i="1" s="1"/>
  <c r="AC22" i="1"/>
  <c r="Y22" i="1"/>
  <c r="AI22" i="1" s="1"/>
  <c r="AJ22" i="1" s="1"/>
  <c r="AL22" i="1" s="1"/>
  <c r="U22" i="1"/>
  <c r="V22" i="1" s="1"/>
  <c r="X22" i="1" s="1"/>
  <c r="N22" i="1"/>
  <c r="O22" i="1" s="1"/>
  <c r="Q22" i="1" s="1"/>
  <c r="F22" i="1"/>
  <c r="H22" i="1" s="1"/>
  <c r="E22" i="1"/>
  <c r="BS21" i="1"/>
  <c r="BM21" i="1"/>
  <c r="BR21" i="1" s="1"/>
  <c r="BA21" i="1"/>
  <c r="AV21" i="1"/>
  <c r="AX21" i="1" s="1"/>
  <c r="AP21" i="1"/>
  <c r="AR21" i="1" s="1"/>
  <c r="AE21" i="1"/>
  <c r="AD21" i="1"/>
  <c r="BF21" i="1" s="1"/>
  <c r="AC21" i="1"/>
  <c r="Y21" i="1"/>
  <c r="AI21" i="1" s="1"/>
  <c r="AJ21" i="1" s="1"/>
  <c r="AL21" i="1" s="1"/>
  <c r="U21" i="1"/>
  <c r="V21" i="1" s="1"/>
  <c r="X21" i="1" s="1"/>
  <c r="N21" i="1"/>
  <c r="O21" i="1" s="1"/>
  <c r="Q21" i="1" s="1"/>
  <c r="F21" i="1"/>
  <c r="H21" i="1" s="1"/>
  <c r="E21" i="1"/>
  <c r="BS20" i="1"/>
  <c r="BM20" i="1"/>
  <c r="BR20" i="1" s="1"/>
  <c r="BA20" i="1"/>
  <c r="AW20" i="1"/>
  <c r="AX20" i="1" s="1"/>
  <c r="AQ20" i="1"/>
  <c r="AR20" i="1" s="1"/>
  <c r="AE20" i="1"/>
  <c r="AD20" i="1"/>
  <c r="BF20" i="1" s="1"/>
  <c r="AC20" i="1"/>
  <c r="Y20" i="1"/>
  <c r="AI20" i="1" s="1"/>
  <c r="AK20" i="1" s="1"/>
  <c r="AL20" i="1" s="1"/>
  <c r="U20" i="1"/>
  <c r="W20" i="1" s="1"/>
  <c r="X20" i="1" s="1"/>
  <c r="N20" i="1"/>
  <c r="P20" i="1" s="1"/>
  <c r="Q20" i="1" s="1"/>
  <c r="G20" i="1"/>
  <c r="H20" i="1" s="1"/>
  <c r="E20" i="1"/>
  <c r="BS19" i="1"/>
  <c r="BM19" i="1"/>
  <c r="BR19" i="1" s="1"/>
  <c r="BA19" i="1"/>
  <c r="AV19" i="1"/>
  <c r="AX19" i="1" s="1"/>
  <c r="AP19" i="1"/>
  <c r="AR19" i="1" s="1"/>
  <c r="AE19" i="1"/>
  <c r="AD19" i="1"/>
  <c r="BF19" i="1" s="1"/>
  <c r="AC19" i="1"/>
  <c r="Y19" i="1"/>
  <c r="AI19" i="1" s="1"/>
  <c r="AJ19" i="1" s="1"/>
  <c r="AL19" i="1" s="1"/>
  <c r="U19" i="1"/>
  <c r="V19" i="1" s="1"/>
  <c r="X19" i="1" s="1"/>
  <c r="N19" i="1"/>
  <c r="O19" i="1" s="1"/>
  <c r="Q19" i="1" s="1"/>
  <c r="F19" i="1"/>
  <c r="H19" i="1" s="1"/>
  <c r="E19" i="1"/>
  <c r="BS18" i="1"/>
  <c r="BM18" i="1"/>
  <c r="BR18" i="1" s="1"/>
  <c r="BA18" i="1"/>
  <c r="AW18" i="1"/>
  <c r="AX18" i="1" s="1"/>
  <c r="AQ18" i="1"/>
  <c r="AR18" i="1" s="1"/>
  <c r="AE18" i="1"/>
  <c r="AD18" i="1"/>
  <c r="BF18" i="1" s="1"/>
  <c r="AC18" i="1"/>
  <c r="Y18" i="1"/>
  <c r="AI18" i="1" s="1"/>
  <c r="AK18" i="1" s="1"/>
  <c r="AL18" i="1" s="1"/>
  <c r="U18" i="1"/>
  <c r="W18" i="1" s="1"/>
  <c r="X18" i="1" s="1"/>
  <c r="N18" i="1"/>
  <c r="P18" i="1" s="1"/>
  <c r="Q18" i="1" s="1"/>
  <c r="G18" i="1"/>
  <c r="H18" i="1" s="1"/>
  <c r="E18" i="1"/>
  <c r="BS17" i="1"/>
  <c r="BM17" i="1"/>
  <c r="BR17" i="1" s="1"/>
  <c r="BA17" i="1"/>
  <c r="AV17" i="1"/>
  <c r="AX17" i="1" s="1"/>
  <c r="AP17" i="1"/>
  <c r="AR17" i="1" s="1"/>
  <c r="AE17" i="1"/>
  <c r="AD17" i="1"/>
  <c r="BF17" i="1" s="1"/>
  <c r="AC17" i="1"/>
  <c r="Y17" i="1"/>
  <c r="AI17" i="1" s="1"/>
  <c r="AJ17" i="1" s="1"/>
  <c r="AL17" i="1" s="1"/>
  <c r="U17" i="1"/>
  <c r="V17" i="1" s="1"/>
  <c r="X17" i="1" s="1"/>
  <c r="N17" i="1"/>
  <c r="O17" i="1" s="1"/>
  <c r="Q17" i="1" s="1"/>
  <c r="F17" i="1"/>
  <c r="H17" i="1" s="1"/>
  <c r="E17" i="1"/>
  <c r="BS16" i="1"/>
  <c r="BM16" i="1"/>
  <c r="BR16" i="1" s="1"/>
  <c r="BA16" i="1"/>
  <c r="AV16" i="1"/>
  <c r="AX16" i="1" s="1"/>
  <c r="AP16" i="1"/>
  <c r="AR16" i="1" s="1"/>
  <c r="AE16" i="1"/>
  <c r="AD16" i="1"/>
  <c r="BF16" i="1" s="1"/>
  <c r="AC16" i="1"/>
  <c r="Y16" i="1"/>
  <c r="AI16" i="1" s="1"/>
  <c r="AJ16" i="1" s="1"/>
  <c r="AL16" i="1" s="1"/>
  <c r="U16" i="1"/>
  <c r="V16" i="1" s="1"/>
  <c r="X16" i="1" s="1"/>
  <c r="N16" i="1"/>
  <c r="O16" i="1" s="1"/>
  <c r="Q16" i="1" s="1"/>
  <c r="F16" i="1"/>
  <c r="H16" i="1" s="1"/>
  <c r="E16" i="1"/>
  <c r="BS15" i="1"/>
  <c r="BM15" i="1"/>
  <c r="BR15" i="1" s="1"/>
  <c r="BA15" i="1"/>
  <c r="AV15" i="1"/>
  <c r="AX15" i="1" s="1"/>
  <c r="AP15" i="1"/>
  <c r="AR15" i="1" s="1"/>
  <c r="AE15" i="1"/>
  <c r="AD15" i="1"/>
  <c r="BF15" i="1" s="1"/>
  <c r="AC15" i="1"/>
  <c r="Y15" i="1"/>
  <c r="AI15" i="1" s="1"/>
  <c r="AJ15" i="1" s="1"/>
  <c r="AL15" i="1" s="1"/>
  <c r="U15" i="1"/>
  <c r="V15" i="1" s="1"/>
  <c r="X15" i="1" s="1"/>
  <c r="N15" i="1"/>
  <c r="O15" i="1" s="1"/>
  <c r="Q15" i="1" s="1"/>
  <c r="F15" i="1"/>
  <c r="H15" i="1" s="1"/>
  <c r="E15" i="1"/>
  <c r="BS14" i="1"/>
  <c r="BM14" i="1"/>
  <c r="BR14" i="1" s="1"/>
  <c r="BA14" i="1"/>
  <c r="AV14" i="1"/>
  <c r="AX14" i="1" s="1"/>
  <c r="AP14" i="1"/>
  <c r="AR14" i="1" s="1"/>
  <c r="AE14" i="1"/>
  <c r="AD14" i="1"/>
  <c r="BF14" i="1" s="1"/>
  <c r="AC14" i="1"/>
  <c r="Y14" i="1"/>
  <c r="AI14" i="1" s="1"/>
  <c r="AJ14" i="1" s="1"/>
  <c r="AL14" i="1" s="1"/>
  <c r="U14" i="1"/>
  <c r="V14" i="1" s="1"/>
  <c r="X14" i="1" s="1"/>
  <c r="N14" i="1"/>
  <c r="O14" i="1" s="1"/>
  <c r="Q14" i="1" s="1"/>
  <c r="F14" i="1"/>
  <c r="H14" i="1" s="1"/>
  <c r="E14" i="1"/>
  <c r="BS13" i="1"/>
  <c r="BM13" i="1"/>
  <c r="BR13" i="1" s="1"/>
  <c r="BA13" i="1"/>
  <c r="AV13" i="1"/>
  <c r="AX13" i="1" s="1"/>
  <c r="AP13" i="1"/>
  <c r="AR13" i="1" s="1"/>
  <c r="AE13" i="1"/>
  <c r="AD13" i="1"/>
  <c r="BF13" i="1" s="1"/>
  <c r="AC13" i="1"/>
  <c r="Y13" i="1"/>
  <c r="AI13" i="1" s="1"/>
  <c r="AJ13" i="1" s="1"/>
  <c r="AL13" i="1" s="1"/>
  <c r="U13" i="1"/>
  <c r="V13" i="1" s="1"/>
  <c r="X13" i="1" s="1"/>
  <c r="N13" i="1"/>
  <c r="O13" i="1" s="1"/>
  <c r="Q13" i="1" s="1"/>
  <c r="F13" i="1"/>
  <c r="H13" i="1" s="1"/>
  <c r="E13" i="1"/>
  <c r="BS12" i="1"/>
  <c r="BM12" i="1"/>
  <c r="BR12" i="1" s="1"/>
  <c r="BA12" i="1"/>
  <c r="AV12" i="1"/>
  <c r="AX12" i="1" s="1"/>
  <c r="AP12" i="1"/>
  <c r="AR12" i="1" s="1"/>
  <c r="AE12" i="1"/>
  <c r="AD12" i="1"/>
  <c r="BF12" i="1" s="1"/>
  <c r="AC12" i="1"/>
  <c r="Y12" i="1"/>
  <c r="AI12" i="1" s="1"/>
  <c r="AJ12" i="1" s="1"/>
  <c r="AL12" i="1" s="1"/>
  <c r="U12" i="1"/>
  <c r="V12" i="1" s="1"/>
  <c r="X12" i="1" s="1"/>
  <c r="N12" i="1"/>
  <c r="O12" i="1" s="1"/>
  <c r="Q12" i="1" s="1"/>
  <c r="F12" i="1"/>
  <c r="H12" i="1" s="1"/>
  <c r="E12" i="1"/>
  <c r="BS11" i="1"/>
  <c r="BM11" i="1"/>
  <c r="BR11" i="1" s="1"/>
  <c r="BA11" i="1"/>
  <c r="AV11" i="1"/>
  <c r="AX11" i="1" s="1"/>
  <c r="AP11" i="1"/>
  <c r="AR11" i="1" s="1"/>
  <c r="AE11" i="1"/>
  <c r="AD11" i="1"/>
  <c r="BF11" i="1" s="1"/>
  <c r="AC11" i="1"/>
  <c r="Y11" i="1"/>
  <c r="AI11" i="1" s="1"/>
  <c r="AJ11" i="1" s="1"/>
  <c r="AL11" i="1" s="1"/>
  <c r="U11" i="1"/>
  <c r="V11" i="1" s="1"/>
  <c r="X11" i="1" s="1"/>
  <c r="N11" i="1"/>
  <c r="O11" i="1" s="1"/>
  <c r="Q11" i="1" s="1"/>
  <c r="E11" i="1"/>
  <c r="F11" i="1" s="1"/>
  <c r="H11" i="1" s="1"/>
  <c r="BS10" i="1"/>
  <c r="BO10" i="1"/>
  <c r="BM10" i="1"/>
  <c r="BA10" i="1"/>
  <c r="AV10" i="1"/>
  <c r="AX10" i="1" s="1"/>
  <c r="AP10" i="1"/>
  <c r="AR10" i="1" s="1"/>
  <c r="AE10" i="1"/>
  <c r="AE41" i="1" s="1"/>
  <c r="AD10" i="1"/>
  <c r="AD41" i="1" s="1"/>
  <c r="AC10" i="1"/>
  <c r="AC41" i="1" s="1"/>
  <c r="Y10" i="1"/>
  <c r="U10" i="1"/>
  <c r="V10" i="1" s="1"/>
  <c r="X10" i="1" s="1"/>
  <c r="N10" i="1"/>
  <c r="O10" i="1" s="1"/>
  <c r="Q10" i="1" s="1"/>
  <c r="F10" i="1"/>
  <c r="H10" i="1" s="1"/>
  <c r="E10" i="1"/>
  <c r="BK35" i="2" l="1"/>
  <c r="BK38" i="2"/>
  <c r="BB10" i="2"/>
  <c r="BB12" i="2"/>
  <c r="BB14" i="2"/>
  <c r="BB16" i="2"/>
  <c r="BB19" i="2"/>
  <c r="BB21" i="2"/>
  <c r="BB23" i="2"/>
  <c r="BB24" i="2"/>
  <c r="BB25" i="2"/>
  <c r="BB26" i="2"/>
  <c r="BB27" i="2"/>
  <c r="BB28" i="2"/>
  <c r="BB29" i="2"/>
  <c r="BB30" i="2"/>
  <c r="BB31" i="2"/>
  <c r="BB32" i="2"/>
  <c r="BB33" i="2"/>
  <c r="BK34" i="2"/>
  <c r="BG35" i="2"/>
  <c r="BB36" i="2"/>
  <c r="BG38" i="2"/>
  <c r="BK39" i="2"/>
  <c r="BB35" i="2"/>
  <c r="BG33" i="2"/>
  <c r="BK33" i="2"/>
  <c r="BN33" i="2"/>
  <c r="BR33" i="2"/>
  <c r="BB34" i="2"/>
  <c r="BI34" i="2"/>
  <c r="BP34" i="2"/>
  <c r="BI35" i="2"/>
  <c r="BP35" i="2"/>
  <c r="BG36" i="2"/>
  <c r="BK36" i="2"/>
  <c r="BN36" i="2"/>
  <c r="BR36" i="2"/>
  <c r="BG37" i="2"/>
  <c r="BK37" i="2"/>
  <c r="BN37" i="2"/>
  <c r="BR37" i="2"/>
  <c r="BB38" i="2"/>
  <c r="BI38" i="2"/>
  <c r="BP38" i="2"/>
  <c r="BI39" i="2"/>
  <c r="BP39" i="2"/>
  <c r="BG40" i="2"/>
  <c r="BK40" i="2"/>
  <c r="BN40" i="2"/>
  <c r="BR40" i="2"/>
  <c r="BI33" i="2"/>
  <c r="BP33" i="2"/>
  <c r="BI36" i="2"/>
  <c r="BP36" i="2"/>
  <c r="BI37" i="2"/>
  <c r="BP37" i="2"/>
  <c r="BI40" i="2"/>
  <c r="BP40" i="2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K11" i="1"/>
  <c r="BI11" i="1"/>
  <c r="BG11" i="1"/>
  <c r="BJ11" i="1"/>
  <c r="BH11" i="1"/>
  <c r="AI10" i="1"/>
  <c r="AJ10" i="1" s="1"/>
  <c r="AL10" i="1" s="1"/>
  <c r="Y41" i="1"/>
  <c r="AF10" i="1"/>
  <c r="AG10" i="1" s="1"/>
  <c r="AH10" i="1" s="1"/>
  <c r="BF10" i="1"/>
  <c r="BB11" i="1"/>
  <c r="BK12" i="1"/>
  <c r="BI12" i="1"/>
  <c r="BG12" i="1"/>
  <c r="BJ12" i="1"/>
  <c r="BH12" i="1"/>
  <c r="BK13" i="1"/>
  <c r="BI13" i="1"/>
  <c r="BG13" i="1"/>
  <c r="BJ13" i="1"/>
  <c r="BH13" i="1"/>
  <c r="BK14" i="1"/>
  <c r="BI14" i="1"/>
  <c r="BG14" i="1"/>
  <c r="BJ14" i="1"/>
  <c r="BH14" i="1"/>
  <c r="BK15" i="1"/>
  <c r="BI15" i="1"/>
  <c r="BG15" i="1"/>
  <c r="BJ15" i="1"/>
  <c r="BH15" i="1"/>
  <c r="BK16" i="1"/>
  <c r="BI16" i="1"/>
  <c r="BG16" i="1"/>
  <c r="BJ16" i="1"/>
  <c r="BH16" i="1"/>
  <c r="BK17" i="1"/>
  <c r="BI17" i="1"/>
  <c r="BG17" i="1"/>
  <c r="BJ17" i="1"/>
  <c r="BH17" i="1"/>
  <c r="BK18" i="1"/>
  <c r="BI18" i="1"/>
  <c r="BG18" i="1"/>
  <c r="BJ18" i="1"/>
  <c r="BH18" i="1"/>
  <c r="BK19" i="1"/>
  <c r="BI19" i="1"/>
  <c r="BG19" i="1"/>
  <c r="BJ19" i="1"/>
  <c r="BH19" i="1"/>
  <c r="BK20" i="1"/>
  <c r="BI20" i="1"/>
  <c r="BG20" i="1"/>
  <c r="BJ20" i="1"/>
  <c r="BH20" i="1"/>
  <c r="BK21" i="1"/>
  <c r="BI21" i="1"/>
  <c r="BG21" i="1"/>
  <c r="BJ21" i="1"/>
  <c r="BH21" i="1"/>
  <c r="BK22" i="1"/>
  <c r="BI22" i="1"/>
  <c r="BG22" i="1"/>
  <c r="BJ22" i="1"/>
  <c r="BH22" i="1"/>
  <c r="BK23" i="1"/>
  <c r="BI23" i="1"/>
  <c r="BG23" i="1"/>
  <c r="BJ23" i="1"/>
  <c r="BH23" i="1"/>
  <c r="BK24" i="1"/>
  <c r="BI24" i="1"/>
  <c r="BG24" i="1"/>
  <c r="BJ24" i="1"/>
  <c r="BH24" i="1"/>
  <c r="BK25" i="1"/>
  <c r="BI25" i="1"/>
  <c r="BG25" i="1"/>
  <c r="BJ25" i="1"/>
  <c r="BH25" i="1"/>
  <c r="BK26" i="1"/>
  <c r="BI26" i="1"/>
  <c r="BG26" i="1"/>
  <c r="BJ26" i="1"/>
  <c r="BH26" i="1"/>
  <c r="BK27" i="1"/>
  <c r="BI27" i="1"/>
  <c r="BG27" i="1"/>
  <c r="BJ27" i="1"/>
  <c r="BH27" i="1"/>
  <c r="BK28" i="1"/>
  <c r="BI28" i="1"/>
  <c r="BG28" i="1"/>
  <c r="BJ28" i="1"/>
  <c r="BH28" i="1"/>
  <c r="BK29" i="1"/>
  <c r="BI29" i="1"/>
  <c r="BG29" i="1"/>
  <c r="BJ29" i="1"/>
  <c r="BH29" i="1"/>
  <c r="BK30" i="1"/>
  <c r="BI30" i="1"/>
  <c r="BG30" i="1"/>
  <c r="BJ30" i="1"/>
  <c r="BH30" i="1"/>
  <c r="BK31" i="1"/>
  <c r="BI31" i="1"/>
  <c r="BG31" i="1"/>
  <c r="BJ31" i="1"/>
  <c r="BH31" i="1"/>
  <c r="BK32" i="1"/>
  <c r="BI32" i="1"/>
  <c r="BG32" i="1"/>
  <c r="BJ32" i="1"/>
  <c r="BH32" i="1"/>
  <c r="BK33" i="1"/>
  <c r="BI33" i="1"/>
  <c r="BG33" i="1"/>
  <c r="BJ33" i="1"/>
  <c r="BH33" i="1"/>
  <c r="BK34" i="1"/>
  <c r="BI34" i="1"/>
  <c r="BG34" i="1"/>
  <c r="BH34" i="1"/>
  <c r="BJ34" i="1"/>
  <c r="BK35" i="1"/>
  <c r="BI35" i="1"/>
  <c r="BG35" i="1"/>
  <c r="BJ35" i="1"/>
  <c r="BH35" i="1"/>
  <c r="BK36" i="1"/>
  <c r="BI36" i="1"/>
  <c r="BG36" i="1"/>
  <c r="BH36" i="1"/>
  <c r="BJ36" i="1"/>
  <c r="BK37" i="1"/>
  <c r="BI37" i="1"/>
  <c r="BG37" i="1"/>
  <c r="BJ37" i="1"/>
  <c r="BH37" i="1"/>
  <c r="BK38" i="1"/>
  <c r="BI38" i="1"/>
  <c r="BG38" i="1"/>
  <c r="BH38" i="1"/>
  <c r="BJ38" i="1"/>
  <c r="BK39" i="1"/>
  <c r="BI39" i="1"/>
  <c r="BG39" i="1"/>
  <c r="BJ39" i="1"/>
  <c r="BH39" i="1"/>
  <c r="BK40" i="1"/>
  <c r="BI40" i="1"/>
  <c r="BG40" i="1"/>
  <c r="BH40" i="1"/>
  <c r="BJ40" i="1"/>
  <c r="BB10" i="1"/>
  <c r="BR10" i="1"/>
  <c r="BP10" i="1"/>
  <c r="BN10" i="1"/>
  <c r="BQ10" i="1"/>
  <c r="AF11" i="1"/>
  <c r="AG11" i="1" s="1"/>
  <c r="AH11" i="1" s="1"/>
  <c r="BO11" i="1"/>
  <c r="BQ11" i="1"/>
  <c r="AF12" i="1"/>
  <c r="AG12" i="1" s="1"/>
  <c r="AH12" i="1" s="1"/>
  <c r="BO12" i="1"/>
  <c r="BQ12" i="1"/>
  <c r="AF13" i="1"/>
  <c r="AG13" i="1" s="1"/>
  <c r="AH13" i="1" s="1"/>
  <c r="BO13" i="1"/>
  <c r="BQ13" i="1"/>
  <c r="AF14" i="1"/>
  <c r="AG14" i="1" s="1"/>
  <c r="AH14" i="1" s="1"/>
  <c r="BO14" i="1"/>
  <c r="BQ14" i="1"/>
  <c r="AF15" i="1"/>
  <c r="AG15" i="1" s="1"/>
  <c r="AH15" i="1" s="1"/>
  <c r="BO15" i="1"/>
  <c r="BQ15" i="1"/>
  <c r="AF16" i="1"/>
  <c r="AG16" i="1" s="1"/>
  <c r="AH16" i="1" s="1"/>
  <c r="BO16" i="1"/>
  <c r="BQ16" i="1"/>
  <c r="AF17" i="1"/>
  <c r="AG17" i="1" s="1"/>
  <c r="AH17" i="1" s="1"/>
  <c r="BO17" i="1"/>
  <c r="BQ17" i="1"/>
  <c r="AF18" i="1"/>
  <c r="AG18" i="1" s="1"/>
  <c r="AH18" i="1" s="1"/>
  <c r="BO18" i="1"/>
  <c r="BQ18" i="1"/>
  <c r="AF19" i="1"/>
  <c r="AG19" i="1" s="1"/>
  <c r="AH19" i="1" s="1"/>
  <c r="BO19" i="1"/>
  <c r="BQ19" i="1"/>
  <c r="AF20" i="1"/>
  <c r="AG20" i="1" s="1"/>
  <c r="AH20" i="1" s="1"/>
  <c r="BO20" i="1"/>
  <c r="BQ20" i="1"/>
  <c r="AF21" i="1"/>
  <c r="AG21" i="1" s="1"/>
  <c r="AH21" i="1" s="1"/>
  <c r="BO21" i="1"/>
  <c r="BQ21" i="1"/>
  <c r="AF22" i="1"/>
  <c r="AG22" i="1" s="1"/>
  <c r="AH22" i="1" s="1"/>
  <c r="BO22" i="1"/>
  <c r="BQ22" i="1"/>
  <c r="AF23" i="1"/>
  <c r="AG23" i="1" s="1"/>
  <c r="AH23" i="1" s="1"/>
  <c r="BO23" i="1"/>
  <c r="BQ23" i="1"/>
  <c r="AF24" i="1"/>
  <c r="AG24" i="1" s="1"/>
  <c r="AH24" i="1" s="1"/>
  <c r="BO24" i="1"/>
  <c r="BQ24" i="1"/>
  <c r="AF25" i="1"/>
  <c r="AG25" i="1" s="1"/>
  <c r="AH25" i="1" s="1"/>
  <c r="BO25" i="1"/>
  <c r="BQ25" i="1"/>
  <c r="AF26" i="1"/>
  <c r="AG26" i="1" s="1"/>
  <c r="AH26" i="1" s="1"/>
  <c r="BO26" i="1"/>
  <c r="BQ26" i="1"/>
  <c r="AF27" i="1"/>
  <c r="AG27" i="1" s="1"/>
  <c r="AH27" i="1" s="1"/>
  <c r="BO27" i="1"/>
  <c r="BQ27" i="1"/>
  <c r="AF28" i="1"/>
  <c r="AG28" i="1" s="1"/>
  <c r="AH28" i="1" s="1"/>
  <c r="BO28" i="1"/>
  <c r="BQ28" i="1"/>
  <c r="AF29" i="1"/>
  <c r="AG29" i="1" s="1"/>
  <c r="AH29" i="1" s="1"/>
  <c r="BO29" i="1"/>
  <c r="BQ29" i="1"/>
  <c r="AF30" i="1"/>
  <c r="AG30" i="1" s="1"/>
  <c r="AH30" i="1" s="1"/>
  <c r="BO30" i="1"/>
  <c r="BQ30" i="1"/>
  <c r="AF31" i="1"/>
  <c r="AG31" i="1" s="1"/>
  <c r="AH31" i="1" s="1"/>
  <c r="BO31" i="1"/>
  <c r="BQ31" i="1"/>
  <c r="AF32" i="1"/>
  <c r="AG32" i="1" s="1"/>
  <c r="AH32" i="1" s="1"/>
  <c r="BO32" i="1"/>
  <c r="BQ32" i="1"/>
  <c r="BR33" i="1"/>
  <c r="BP33" i="1"/>
  <c r="BN33" i="1"/>
  <c r="BQ33" i="1"/>
  <c r="AF34" i="1"/>
  <c r="AG34" i="1" s="1"/>
  <c r="AH34" i="1" s="1"/>
  <c r="BB35" i="1"/>
  <c r="BR35" i="1"/>
  <c r="BP35" i="1"/>
  <c r="BN35" i="1"/>
  <c r="BQ35" i="1"/>
  <c r="AF36" i="1"/>
  <c r="AG36" i="1" s="1"/>
  <c r="AH36" i="1" s="1"/>
  <c r="BB37" i="1"/>
  <c r="BR37" i="1"/>
  <c r="BP37" i="1"/>
  <c r="BN37" i="1"/>
  <c r="BQ37" i="1"/>
  <c r="AF38" i="1"/>
  <c r="AG38" i="1" s="1"/>
  <c r="AH38" i="1" s="1"/>
  <c r="BB39" i="1"/>
  <c r="BR39" i="1"/>
  <c r="BP39" i="1"/>
  <c r="BN39" i="1"/>
  <c r="BQ39" i="1"/>
  <c r="AF40" i="1"/>
  <c r="AG40" i="1" s="1"/>
  <c r="AH40" i="1" s="1"/>
  <c r="BK10" i="2"/>
  <c r="BI10" i="2"/>
  <c r="BG10" i="2"/>
  <c r="BJ10" i="2"/>
  <c r="BK11" i="2"/>
  <c r="BI11" i="2"/>
  <c r="BG11" i="2"/>
  <c r="BJ11" i="2"/>
  <c r="BK12" i="2"/>
  <c r="BI12" i="2"/>
  <c r="BG12" i="2"/>
  <c r="BJ12" i="2"/>
  <c r="BK13" i="2"/>
  <c r="BI13" i="2"/>
  <c r="BG13" i="2"/>
  <c r="BJ13" i="2"/>
  <c r="BK14" i="2"/>
  <c r="BI14" i="2"/>
  <c r="BG14" i="2"/>
  <c r="BJ14" i="2"/>
  <c r="BK15" i="2"/>
  <c r="BI15" i="2"/>
  <c r="BG15" i="2"/>
  <c r="BJ15" i="2"/>
  <c r="BK16" i="2"/>
  <c r="BI16" i="2"/>
  <c r="BG16" i="2"/>
  <c r="BJ16" i="2"/>
  <c r="BK17" i="2"/>
  <c r="BI17" i="2"/>
  <c r="BG17" i="2"/>
  <c r="BJ17" i="2"/>
  <c r="BK18" i="2"/>
  <c r="BI18" i="2"/>
  <c r="BG18" i="2"/>
  <c r="BJ18" i="2"/>
  <c r="BK19" i="2"/>
  <c r="BI19" i="2"/>
  <c r="BG19" i="2"/>
  <c r="BJ19" i="2"/>
  <c r="BK20" i="2"/>
  <c r="BI20" i="2"/>
  <c r="BG20" i="2"/>
  <c r="BJ20" i="2"/>
  <c r="BK21" i="2"/>
  <c r="BI21" i="2"/>
  <c r="BG21" i="2"/>
  <c r="BJ21" i="2"/>
  <c r="BK22" i="2"/>
  <c r="BI22" i="2"/>
  <c r="BG22" i="2"/>
  <c r="BJ22" i="2"/>
  <c r="BN11" i="1"/>
  <c r="BP11" i="1"/>
  <c r="BN12" i="1"/>
  <c r="BP12" i="1"/>
  <c r="BN13" i="1"/>
  <c r="BP13" i="1"/>
  <c r="BN14" i="1"/>
  <c r="BP14" i="1"/>
  <c r="BN15" i="1"/>
  <c r="BP15" i="1"/>
  <c r="BN16" i="1"/>
  <c r="BP16" i="1"/>
  <c r="BN17" i="1"/>
  <c r="BP17" i="1"/>
  <c r="BN18" i="1"/>
  <c r="BP18" i="1"/>
  <c r="BN19" i="1"/>
  <c r="BP19" i="1"/>
  <c r="BN20" i="1"/>
  <c r="BP20" i="1"/>
  <c r="BN21" i="1"/>
  <c r="BP21" i="1"/>
  <c r="BN22" i="1"/>
  <c r="BP22" i="1"/>
  <c r="BN23" i="1"/>
  <c r="BP23" i="1"/>
  <c r="BN24" i="1"/>
  <c r="BP24" i="1"/>
  <c r="BN25" i="1"/>
  <c r="BP25" i="1"/>
  <c r="BN26" i="1"/>
  <c r="BP26" i="1"/>
  <c r="BN27" i="1"/>
  <c r="BP27" i="1"/>
  <c r="BN28" i="1"/>
  <c r="BP28" i="1"/>
  <c r="BN29" i="1"/>
  <c r="BP29" i="1"/>
  <c r="BN30" i="1"/>
  <c r="BP30" i="1"/>
  <c r="BN31" i="1"/>
  <c r="BP31" i="1"/>
  <c r="BN32" i="1"/>
  <c r="BP32" i="1"/>
  <c r="AF33" i="1"/>
  <c r="AG33" i="1" s="1"/>
  <c r="AH33" i="1" s="1"/>
  <c r="BO33" i="1"/>
  <c r="BB34" i="1"/>
  <c r="BR34" i="1"/>
  <c r="BP34" i="1"/>
  <c r="BN34" i="1"/>
  <c r="BQ34" i="1"/>
  <c r="AF35" i="1"/>
  <c r="AG35" i="1" s="1"/>
  <c r="AH35" i="1" s="1"/>
  <c r="BO35" i="1"/>
  <c r="BB36" i="1"/>
  <c r="BR36" i="1"/>
  <c r="BP36" i="1"/>
  <c r="BN36" i="1"/>
  <c r="BQ36" i="1"/>
  <c r="AF37" i="1"/>
  <c r="AG37" i="1" s="1"/>
  <c r="AH37" i="1" s="1"/>
  <c r="BO37" i="1"/>
  <c r="BB38" i="1"/>
  <c r="BR38" i="1"/>
  <c r="BP38" i="1"/>
  <c r="BN38" i="1"/>
  <c r="BQ38" i="1"/>
  <c r="AF39" i="1"/>
  <c r="AG39" i="1" s="1"/>
  <c r="AH39" i="1" s="1"/>
  <c r="BO39" i="1"/>
  <c r="BB40" i="1"/>
  <c r="BR40" i="1"/>
  <c r="BP40" i="1"/>
  <c r="BN40" i="1"/>
  <c r="BQ40" i="1"/>
  <c r="BH10" i="2"/>
  <c r="BR10" i="2"/>
  <c r="BP10" i="2"/>
  <c r="BN10" i="2"/>
  <c r="BQ10" i="2"/>
  <c r="BH11" i="2"/>
  <c r="BR11" i="2"/>
  <c r="BP11" i="2"/>
  <c r="BN11" i="2"/>
  <c r="BQ11" i="2"/>
  <c r="BH12" i="2"/>
  <c r="BR12" i="2"/>
  <c r="BP12" i="2"/>
  <c r="BN12" i="2"/>
  <c r="BQ12" i="2"/>
  <c r="BH13" i="2"/>
  <c r="BR13" i="2"/>
  <c r="BP13" i="2"/>
  <c r="BN13" i="2"/>
  <c r="BQ13" i="2"/>
  <c r="BH14" i="2"/>
  <c r="BR14" i="2"/>
  <c r="BP14" i="2"/>
  <c r="BN14" i="2"/>
  <c r="BQ14" i="2"/>
  <c r="BH15" i="2"/>
  <c r="BR15" i="2"/>
  <c r="BP15" i="2"/>
  <c r="BN15" i="2"/>
  <c r="BQ15" i="2"/>
  <c r="BH16" i="2"/>
  <c r="BR16" i="2"/>
  <c r="BP16" i="2"/>
  <c r="BN16" i="2"/>
  <c r="BQ16" i="2"/>
  <c r="BH17" i="2"/>
  <c r="BR17" i="2"/>
  <c r="BP17" i="2"/>
  <c r="BN17" i="2"/>
  <c r="BQ17" i="2"/>
  <c r="BH18" i="2"/>
  <c r="BR18" i="2"/>
  <c r="BP18" i="2"/>
  <c r="BN18" i="2"/>
  <c r="BQ18" i="2"/>
  <c r="BH19" i="2"/>
  <c r="BR19" i="2"/>
  <c r="BP19" i="2"/>
  <c r="BN19" i="2"/>
  <c r="BQ19" i="2"/>
  <c r="BH20" i="2"/>
  <c r="BR20" i="2"/>
  <c r="BP20" i="2"/>
  <c r="BN20" i="2"/>
  <c r="BQ20" i="2"/>
  <c r="BH21" i="2"/>
  <c r="BR21" i="2"/>
  <c r="BP21" i="2"/>
  <c r="BN21" i="2"/>
  <c r="BQ21" i="2"/>
  <c r="BH22" i="2"/>
  <c r="BK23" i="2"/>
  <c r="BI23" i="2"/>
  <c r="BG23" i="2"/>
  <c r="BH23" i="2"/>
  <c r="BK24" i="2"/>
  <c r="BI24" i="2"/>
  <c r="BG24" i="2"/>
  <c r="BH24" i="2"/>
  <c r="BK25" i="2"/>
  <c r="BI25" i="2"/>
  <c r="BG25" i="2"/>
  <c r="BH25" i="2"/>
  <c r="BK26" i="2"/>
  <c r="BI26" i="2"/>
  <c r="BG26" i="2"/>
  <c r="BH26" i="2"/>
  <c r="BK27" i="2"/>
  <c r="BI27" i="2"/>
  <c r="BG27" i="2"/>
  <c r="BH27" i="2"/>
  <c r="BK28" i="2"/>
  <c r="BI28" i="2"/>
  <c r="BG28" i="2"/>
  <c r="BH28" i="2"/>
  <c r="BK29" i="2"/>
  <c r="BI29" i="2"/>
  <c r="BG29" i="2"/>
  <c r="BH29" i="2"/>
  <c r="BK30" i="2"/>
  <c r="BI30" i="2"/>
  <c r="BG30" i="2"/>
  <c r="BH30" i="2"/>
  <c r="BK31" i="2"/>
  <c r="BI31" i="2"/>
  <c r="BG31" i="2"/>
  <c r="BH31" i="2"/>
  <c r="BK32" i="2"/>
  <c r="BI32" i="2"/>
  <c r="BG32" i="2"/>
  <c r="BH32" i="2"/>
  <c r="BR22" i="2"/>
  <c r="BP22" i="2"/>
  <c r="BN22" i="2"/>
  <c r="BQ22" i="2"/>
  <c r="BR23" i="2"/>
  <c r="BP23" i="2"/>
  <c r="BN23" i="2"/>
  <c r="BQ23" i="2"/>
  <c r="BR24" i="2"/>
  <c r="BP24" i="2"/>
  <c r="BN24" i="2"/>
  <c r="BQ24" i="2"/>
  <c r="BR25" i="2"/>
  <c r="BP25" i="2"/>
  <c r="BN25" i="2"/>
  <c r="BQ25" i="2"/>
  <c r="BR26" i="2"/>
  <c r="BP26" i="2"/>
  <c r="BN26" i="2"/>
  <c r="BQ26" i="2"/>
  <c r="BR27" i="2"/>
  <c r="BP27" i="2"/>
  <c r="BN27" i="2"/>
  <c r="BQ27" i="2"/>
  <c r="BR28" i="2"/>
  <c r="BP28" i="2"/>
  <c r="BN28" i="2"/>
  <c r="BQ28" i="2"/>
  <c r="BR29" i="2"/>
  <c r="BP29" i="2"/>
  <c r="BN29" i="2"/>
  <c r="BQ29" i="2"/>
  <c r="BR30" i="2"/>
  <c r="BP30" i="2"/>
  <c r="BN30" i="2"/>
  <c r="BQ30" i="2"/>
  <c r="BR31" i="2"/>
  <c r="BP31" i="2"/>
  <c r="BN31" i="2"/>
  <c r="BQ31" i="2"/>
  <c r="BR32" i="2"/>
  <c r="BP32" i="2"/>
  <c r="BN32" i="2"/>
  <c r="BQ32" i="2"/>
  <c r="BH33" i="2"/>
  <c r="BO33" i="2"/>
  <c r="BH34" i="2"/>
  <c r="BO34" i="2"/>
  <c r="BH35" i="2"/>
  <c r="BO35" i="2"/>
  <c r="BH36" i="2"/>
  <c r="BO36" i="2"/>
  <c r="BH37" i="2"/>
  <c r="BO37" i="2"/>
  <c r="BH38" i="2"/>
  <c r="BO38" i="2"/>
  <c r="BH39" i="2"/>
  <c r="BO39" i="2"/>
  <c r="BH40" i="2"/>
  <c r="BO40" i="2"/>
  <c r="BO41" i="2" l="1"/>
  <c r="BO41" i="1"/>
  <c r="BQ41" i="2"/>
  <c r="BP41" i="2"/>
  <c r="BH41" i="2"/>
  <c r="BG41" i="2"/>
  <c r="BK41" i="2"/>
  <c r="BQ41" i="1"/>
  <c r="BP41" i="1"/>
  <c r="BN41" i="2"/>
  <c r="BR41" i="2"/>
  <c r="BJ41" i="2"/>
  <c r="BI41" i="2"/>
  <c r="BN41" i="1"/>
  <c r="BR41" i="1"/>
  <c r="BK10" i="1"/>
  <c r="BI10" i="1"/>
  <c r="BG10" i="1"/>
  <c r="BH10" i="1"/>
  <c r="BJ10" i="1"/>
  <c r="BH41" i="1" l="1"/>
  <c r="BI41" i="1"/>
  <c r="BJ41" i="1"/>
  <c r="BG41" i="1"/>
  <c r="BK41" i="1"/>
</calcChain>
</file>

<file path=xl/sharedStrings.xml><?xml version="1.0" encoding="utf-8"?>
<sst xmlns="http://schemas.openxmlformats.org/spreadsheetml/2006/main" count="306" uniqueCount="110">
  <si>
    <t>Перечень индикаторов на соответствие плановых показателей местных бюджетов требованиям Бюджетного кодекса Российской Федерации по состоянию на 01.01.2026</t>
  </si>
  <si>
    <t>Единица измерения: тыс.рублей, баллы</t>
  </si>
  <si>
    <t>Наименование МР (МО, ГО)</t>
  </si>
  <si>
    <t>P1</t>
  </si>
  <si>
    <t>P2</t>
  </si>
  <si>
    <t>P3</t>
  </si>
  <si>
    <t>P4</t>
  </si>
  <si>
    <t>P5.1</t>
  </si>
  <si>
    <t>P5.2</t>
  </si>
  <si>
    <t>P7</t>
  </si>
  <si>
    <r>
      <t xml:space="preserve">Объем заимствований муниципального образования в </t>
    </r>
    <r>
      <rPr>
        <b/>
        <sz val="10"/>
        <color indexed="10"/>
        <rFont val="Times New Roman"/>
        <family val="1"/>
        <charset val="204"/>
      </rPr>
      <t xml:space="preserve">текущем </t>
    </r>
    <r>
      <rPr>
        <sz val="10"/>
        <rFont val="Times New Roman"/>
        <family val="1"/>
        <charset val="204"/>
      </rPr>
      <t>финансовом году</t>
    </r>
  </si>
  <si>
    <t>Сумма, направленная в текущем финансовом году на финансирование дефицита местного бюджета</t>
  </si>
  <si>
    <t>Сумма, направленная в текущем финансовом году на погашение долговых обязательств бюджета муниципального образования</t>
  </si>
  <si>
    <t>Отношение объема заимствований муниципального образования в текущем финансовом году к сумме, направляемой в текущем финансовом году на финансирование дефицита местного бюджета и (или) погашение долговых обязательств муниципального образования (ст. 106 БК РФ)</t>
  </si>
  <si>
    <t>Нормативное значение</t>
  </si>
  <si>
    <t>Нормативное значение для муниципального образования, в отношении которого осуществляются меры, предусмотренные п.4 ст.136 БК РФ</t>
  </si>
  <si>
    <t>Количество баллов</t>
  </si>
  <si>
    <t>Объем муниципального долга</t>
  </si>
  <si>
    <t>Общий годовой объем доходов местного бюджета</t>
  </si>
  <si>
    <r>
      <t>Объем безвозмездных поступлений (</t>
    </r>
    <r>
      <rPr>
        <sz val="10"/>
        <color indexed="30"/>
        <rFont val="Times New Roman"/>
        <family val="1"/>
        <charset val="204"/>
      </rPr>
      <t>КБК 0002000000...</t>
    </r>
    <r>
      <rPr>
        <sz val="10"/>
        <rFont val="Times New Roman"/>
        <family val="1"/>
        <charset val="204"/>
      </rPr>
      <t>)</t>
    </r>
  </si>
  <si>
    <t>Объем поступлений по дополнительным нормативам</t>
  </si>
  <si>
    <t>Задолженность по бюджетным кредитам</t>
  </si>
  <si>
    <t>Отношение объема муниципального долга к общему годовому объему доходов местного бюджета без учета объема безвозмездных поступлений и поступлений налоговых доходов по дополнительным нормативам (ст. 107 БК РФ)</t>
  </si>
  <si>
    <t>Объем расходов местного бюджета на обслуживание муниципального долга</t>
  </si>
  <si>
    <t>Объем расходов местного бюджета</t>
  </si>
  <si>
    <t>Объем расходов, которые осуществляются за счет субвенций, предоставляемых из областного бюджета</t>
  </si>
  <si>
    <t>Отношение объема расходов на обслуживание муниципального долга к объему расходов местного бюджета, за исключением объема расходов, которые осуществляются за счет субвенций, предоставляемых из областного бюджета (ст. 111 БК РФ)</t>
  </si>
  <si>
    <t>Размер дефицита местного бюджета</t>
  </si>
  <si>
    <t xml:space="preserve">Объем поступлений от продажи акций и иных форм участия в капитале, находящихся в собственности муниципального
образования
</t>
  </si>
  <si>
    <t>Величина снижения остатков средств на счетах по учету средств местного бюджета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</si>
  <si>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</t>
  </si>
  <si>
    <t>Объем доходов местного бюджета</t>
  </si>
  <si>
    <t>Объем безвозмездных поступлений</t>
  </si>
  <si>
    <t>Объем налоговых поступлений по дополнительным нормативам</t>
  </si>
  <si>
    <t>Доходы без безвозмездных и доп нормативов</t>
  </si>
  <si>
    <t>5% или 10% от собственных доходов</t>
  </si>
  <si>
    <t>5% или 10% от собственных доходов + остатки (отрицательную разницу по бюджетным кредитам не берем, т.к. она не увеличивает, а снижает сумму допустимого дефицита)</t>
  </si>
  <si>
    <t>Отношение дефицита местного бюджета (с учетом допустимых превышений) к общему годовому объему доходов местного бюджета без учета объема безвозмездных поступлений и (или) поступлений налоговых доходов по дополнительным нормативам (ст. 92.1 БК РФ)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</si>
  <si>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утвержденный в местном бюджете на текущий финансовый год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</si>
  <si>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исчисленный по утвержденному нормативу формирования данных расходов.</t>
  </si>
  <si>
    <t>Отношение утвержденного в местном бюджете годового объема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к расходам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исчисленным к установленному нормативу формирования данных расходов (ст. 136 БК РФ)</t>
  </si>
  <si>
    <t>Объем расходов на содержание органов местного самоуправления, утвержденный в местном бюджете на текущий финансовый год</t>
  </si>
  <si>
    <t xml:space="preserve">Объем расходов на содержание органов местного самоуправления по утвержденному нормативу </t>
  </si>
  <si>
    <t>Отношение утвержденного в местном бюджете годового объема расходов на содержание органов местного самоуправления, к расходам на содержание органов местного самоуправления по утвержденному нормативу (ст. 136 БК РФ)</t>
  </si>
  <si>
    <t>Выполнение условий подписанных муниципальными образованиями с  департаментом финансов Брянской области соглашений  о предоставлении бюджетных кредитов</t>
  </si>
  <si>
    <t>Итоговое значение</t>
  </si>
  <si>
    <t>Дотации</t>
  </si>
  <si>
    <t>Аi</t>
  </si>
  <si>
    <t>Бi</t>
  </si>
  <si>
    <t>Вi</t>
  </si>
  <si>
    <t>Р1 = Аi / (Бi + Вi),                                    если Бi &lt; 0, то Р1 = Аi / Вi</t>
  </si>
  <si>
    <t>≤1,0</t>
  </si>
  <si>
    <t>Гi</t>
  </si>
  <si>
    <t>Р2 = Аi / (Бi - Вi - Гi)</t>
  </si>
  <si>
    <t>≤0,5</t>
  </si>
  <si>
    <t>Р3 = Аi / (Бi - Вi)</t>
  </si>
  <si>
    <t>≤0,15</t>
  </si>
  <si>
    <t>Кi</t>
  </si>
  <si>
    <t>Дi</t>
  </si>
  <si>
    <t>Иi</t>
  </si>
  <si>
    <t>Р4 =  (Ai - Бi – Bi – Кi)/
(Гi -Дi - Иi), при Бi &gt; 0 и Bi &gt; 0, и Кi  &gt; 0
иначе Р4 = Ai/(Гi - Дi - Иi)</t>
  </si>
  <si>
    <t>≤0,10</t>
  </si>
  <si>
    <t>≤0,05</t>
  </si>
  <si>
    <t>Р5 = Ai/Бi</t>
  </si>
  <si>
    <t>план</t>
  </si>
  <si>
    <t>Доля</t>
  </si>
  <si>
    <t>если -, то 0</t>
  </si>
  <si>
    <t>до 10%</t>
  </si>
  <si>
    <t>от 10 до 30</t>
  </si>
  <si>
    <t>от 30 до 70</t>
  </si>
  <si>
    <t xml:space="preserve">от 70 до 90 </t>
  </si>
  <si>
    <t>свыше 90</t>
  </si>
  <si>
    <t>дотаций</t>
  </si>
  <si>
    <t>до 4,9%</t>
  </si>
  <si>
    <t>от 5 до 19,9</t>
  </si>
  <si>
    <t>от 20 до 49,9</t>
  </si>
  <si>
    <t xml:space="preserve">от 50 до 89,9 </t>
  </si>
  <si>
    <t>Гродской округ город Брянск</t>
  </si>
  <si>
    <t>Городской округ город Клинцы</t>
  </si>
  <si>
    <t>Новозыбковский городской округ</t>
  </si>
  <si>
    <t xml:space="preserve">Сельцовский городской округ  </t>
  </si>
  <si>
    <t xml:space="preserve">Городской округ город Фокино  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</si>
  <si>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</si>
  <si>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</si>
  <si>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</si>
  <si>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</si>
  <si>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</si>
  <si>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</si>
  <si>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Жирятинский муниципальный район</t>
  </si>
  <si>
    <t>Жуковский муниципальный округ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</si>
  <si>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</si>
  <si>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</si>
  <si>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</si>
  <si>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</si>
  <si>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</si>
  <si>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</si>
  <si>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Красногорский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</si>
  <si>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</si>
  <si>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</si>
  <si>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</si>
  <si>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</si>
  <si>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</si>
  <si>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</si>
  <si>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Стародубский муниципальный округ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</si>
  <si>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</si>
  <si>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</si>
  <si>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</si>
  <si>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</si>
  <si>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ИТОГО</t>
  </si>
  <si>
    <t>факт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</si>
</sst>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_р_._-;\-* #,##0.00_р_._-;_-* &quot;-&quot;??_р_._-;_-@_-"/>
    <numFmt numFmtId="165" formatCode="#,##0.00_ ;[Red]\-#,##0.00\ "/>
    <numFmt numFmtId="166" formatCode="0.0"/>
    <numFmt numFmtId="167" formatCode="#,##0.0_ ;[Red]\-#,##0.0\ "/>
    <numFmt numFmtId="168" formatCode="_-* #,##0_р_._-;\-* #,##0_р_._-;_-* &quot;-&quot;??_р_._-;_-@_-"/>
    <numFmt numFmtId="169" formatCode="_-* #,##0.0_р_._-;\-* #,##0.0_р_._-;_-* &quot;-&quot;??_р_._-;_-@_-"/>
    <numFmt numFmtId="170" formatCode="#,##0.0"/>
    <numFmt numFmtId="171" formatCode="#,##0_ ;[Red]\-#,##0\ "/>
    <numFmt numFmtId="172" formatCode="0.000"/>
    <numFmt numFmtId="173" formatCode="0.0_ ;[Red]\-0.0\ "/>
    <numFmt numFmtId="174" formatCode="0.0%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8"/>
      <name val="Arial Cyr"/>
      <charset val="204"/>
    </font>
    <font>
      <b/>
      <sz val="7"/>
      <name val="Times New Roman"/>
      <family val="1"/>
      <charset val="204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0"/>
      <name val="Helv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</patternFill>
    </fill>
  </fills>
  <borders count="5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49"/>
    <xf numFmtId="0" fontId="1" fillId="14" borderId="50" applyNumberFormat="0" applyFont="0" applyAlignment="0" applyProtection="0"/>
    <xf numFmtId="0" fontId="16" fillId="0" borderId="0"/>
  </cellStyleXfs>
  <cellXfs count="127">
    <xf numFmtId="0" fontId="0" fillId="0" borderId="0" xfId="0"/>
    <xf numFmtId="0" fontId="2" fillId="0" borderId="0" xfId="0" applyFont="1"/>
    <xf numFmtId="164" fontId="3" fillId="0" borderId="0" xfId="1" applyFont="1" applyAlignment="1">
      <alignment horizontal="center" wrapText="1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 applyFill="1"/>
    <xf numFmtId="0" fontId="0" fillId="2" borderId="0" xfId="0" applyFill="1"/>
    <xf numFmtId="0" fontId="2" fillId="0" borderId="0" xfId="0" applyFont="1" applyAlignment="1"/>
    <xf numFmtId="164" fontId="3" fillId="0" borderId="1" xfId="1" applyFont="1" applyBorder="1" applyAlignment="1">
      <alignment horizontal="center" wrapText="1"/>
    </xf>
    <xf numFmtId="165" fontId="0" fillId="0" borderId="0" xfId="0" applyNumberFormat="1" applyFill="1"/>
    <xf numFmtId="0" fontId="5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0" fillId="6" borderId="10" xfId="0" applyFill="1" applyBorder="1"/>
    <xf numFmtId="0" fontId="5" fillId="0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7" borderId="14" xfId="0" applyFont="1" applyFill="1" applyBorder="1" applyAlignment="1"/>
    <xf numFmtId="0" fontId="7" fillId="7" borderId="15" xfId="0" applyFont="1" applyFill="1" applyBorder="1" applyAlignment="1"/>
    <xf numFmtId="0" fontId="7" fillId="7" borderId="16" xfId="0" applyFont="1" applyFill="1" applyBorder="1" applyAlignment="1"/>
    <xf numFmtId="0" fontId="2" fillId="0" borderId="17" xfId="0" applyFont="1" applyBorder="1" applyAlignment="1"/>
    <xf numFmtId="0" fontId="2" fillId="0" borderId="15" xfId="0" applyFont="1" applyBorder="1" applyAlignment="1"/>
    <xf numFmtId="0" fontId="2" fillId="0" borderId="18" xfId="0" applyFont="1" applyBorder="1" applyAlignment="1"/>
    <xf numFmtId="0" fontId="2" fillId="0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7" fillId="7" borderId="18" xfId="0" applyFont="1" applyFill="1" applyBorder="1" applyAlignment="1"/>
    <xf numFmtId="0" fontId="7" fillId="8" borderId="19" xfId="0" applyFont="1" applyFill="1" applyBorder="1" applyAlignment="1">
      <alignment horizontal="center"/>
    </xf>
    <xf numFmtId="0" fontId="7" fillId="8" borderId="14" xfId="0" applyFont="1" applyFill="1" applyBorder="1" applyAlignment="1"/>
    <xf numFmtId="0" fontId="7" fillId="8" borderId="16" xfId="0" applyFont="1" applyFill="1" applyBorder="1" applyAlignment="1"/>
    <xf numFmtId="0" fontId="0" fillId="6" borderId="20" xfId="0" applyFill="1" applyBorder="1"/>
    <xf numFmtId="0" fontId="2" fillId="9" borderId="21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7" fillId="9" borderId="26" xfId="0" applyFont="1" applyFill="1" applyBorder="1" applyAlignment="1">
      <alignment horizontal="center" vertical="center" wrapText="1"/>
    </xf>
    <xf numFmtId="0" fontId="7" fillId="9" borderId="27" xfId="0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7" fillId="9" borderId="28" xfId="0" applyFont="1" applyFill="1" applyBorder="1" applyAlignment="1">
      <alignment horizontal="center" vertical="center" wrapText="1"/>
    </xf>
    <xf numFmtId="166" fontId="7" fillId="9" borderId="27" xfId="0" applyNumberFormat="1" applyFont="1" applyFill="1" applyBorder="1" applyAlignment="1">
      <alignment horizontal="center" vertical="center" wrapText="1"/>
    </xf>
    <xf numFmtId="0" fontId="7" fillId="9" borderId="29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30" xfId="0" applyBorder="1"/>
    <xf numFmtId="0" fontId="0" fillId="0" borderId="31" xfId="0" applyFill="1" applyBorder="1"/>
    <xf numFmtId="0" fontId="0" fillId="0" borderId="0" xfId="0" applyFill="1" applyBorder="1"/>
    <xf numFmtId="167" fontId="0" fillId="0" borderId="0" xfId="0" applyNumberFormat="1" applyBorder="1"/>
    <xf numFmtId="0" fontId="0" fillId="0" borderId="31" xfId="0" applyBorder="1"/>
    <xf numFmtId="0" fontId="12" fillId="0" borderId="31" xfId="0" applyFont="1" applyBorder="1" applyAlignment="1">
      <alignment horizontal="center"/>
    </xf>
    <xf numFmtId="0" fontId="0" fillId="0" borderId="24" xfId="0" applyBorder="1"/>
    <xf numFmtId="0" fontId="0" fillId="2" borderId="0" xfId="0" applyFill="1" applyAlignment="1">
      <alignment horizontal="center"/>
    </xf>
    <xf numFmtId="0" fontId="13" fillId="12" borderId="32" xfId="0" applyFont="1" applyFill="1" applyBorder="1" applyAlignment="1">
      <alignment horizontal="center"/>
    </xf>
    <xf numFmtId="0" fontId="13" fillId="12" borderId="26" xfId="0" applyFont="1" applyFill="1" applyBorder="1" applyAlignment="1">
      <alignment horizontal="center"/>
    </xf>
    <xf numFmtId="0" fontId="13" fillId="12" borderId="27" xfId="0" applyFont="1" applyFill="1" applyBorder="1" applyAlignment="1">
      <alignment horizontal="center"/>
    </xf>
    <xf numFmtId="0" fontId="13" fillId="12" borderId="33" xfId="0" applyFont="1" applyFill="1" applyBorder="1" applyAlignment="1">
      <alignment horizontal="center"/>
    </xf>
    <xf numFmtId="0" fontId="13" fillId="12" borderId="28" xfId="0" applyFont="1" applyFill="1" applyBorder="1" applyAlignment="1">
      <alignment horizontal="center"/>
    </xf>
    <xf numFmtId="0" fontId="7" fillId="12" borderId="26" xfId="0" applyFont="1" applyFill="1" applyBorder="1" applyAlignment="1">
      <alignment horizontal="center"/>
    </xf>
    <xf numFmtId="0" fontId="13" fillId="12" borderId="29" xfId="0" applyFont="1" applyFill="1" applyBorder="1" applyAlignment="1">
      <alignment horizontal="center"/>
    </xf>
    <xf numFmtId="17" fontId="0" fillId="2" borderId="0" xfId="0" applyNumberFormat="1" applyFill="1"/>
    <xf numFmtId="0" fontId="2" fillId="0" borderId="34" xfId="0" applyFont="1" applyBorder="1"/>
    <xf numFmtId="167" fontId="2" fillId="0" borderId="35" xfId="1" applyNumberFormat="1" applyFont="1" applyFill="1" applyBorder="1"/>
    <xf numFmtId="165" fontId="7" fillId="0" borderId="35" xfId="1" applyNumberFormat="1" applyFont="1" applyBorder="1"/>
    <xf numFmtId="168" fontId="2" fillId="0" borderId="36" xfId="1" applyNumberFormat="1" applyFont="1" applyBorder="1"/>
    <xf numFmtId="168" fontId="2" fillId="0" borderId="13" xfId="1" applyNumberFormat="1" applyFont="1" applyBorder="1"/>
    <xf numFmtId="169" fontId="7" fillId="0" borderId="37" xfId="1" applyNumberFormat="1" applyFont="1" applyBorder="1"/>
    <xf numFmtId="167" fontId="2" fillId="2" borderId="35" xfId="1" applyNumberFormat="1" applyFont="1" applyFill="1" applyBorder="1"/>
    <xf numFmtId="165" fontId="7" fillId="0" borderId="35" xfId="1" applyNumberFormat="1" applyFont="1" applyFill="1" applyBorder="1"/>
    <xf numFmtId="167" fontId="2" fillId="0" borderId="38" xfId="1" applyNumberFormat="1" applyFont="1" applyFill="1" applyBorder="1"/>
    <xf numFmtId="170" fontId="2" fillId="0" borderId="36" xfId="1" applyNumberFormat="1" applyFont="1" applyFill="1" applyBorder="1"/>
    <xf numFmtId="171" fontId="2" fillId="0" borderId="13" xfId="1" applyNumberFormat="1" applyFont="1" applyFill="1" applyBorder="1"/>
    <xf numFmtId="167" fontId="2" fillId="0" borderId="13" xfId="1" applyNumberFormat="1" applyFont="1" applyFill="1" applyBorder="1"/>
    <xf numFmtId="167" fontId="2" fillId="0" borderId="13" xfId="1" applyNumberFormat="1" applyFont="1" applyBorder="1"/>
    <xf numFmtId="172" fontId="7" fillId="0" borderId="13" xfId="1" applyNumberFormat="1" applyFont="1" applyBorder="1"/>
    <xf numFmtId="169" fontId="2" fillId="0" borderId="36" xfId="1" applyNumberFormat="1" applyFont="1" applyFill="1" applyBorder="1"/>
    <xf numFmtId="168" fontId="2" fillId="0" borderId="13" xfId="1" applyNumberFormat="1" applyFont="1" applyFill="1" applyBorder="1"/>
    <xf numFmtId="169" fontId="7" fillId="0" borderId="37" xfId="1" applyNumberFormat="1" applyFont="1" applyFill="1" applyBorder="1"/>
    <xf numFmtId="168" fontId="2" fillId="0" borderId="39" xfId="1" applyNumberFormat="1" applyFont="1" applyFill="1" applyBorder="1"/>
    <xf numFmtId="169" fontId="2" fillId="0" borderId="36" xfId="1" applyNumberFormat="1" applyFont="1" applyBorder="1"/>
    <xf numFmtId="173" fontId="7" fillId="0" borderId="13" xfId="1" applyNumberFormat="1" applyFont="1" applyBorder="1"/>
    <xf numFmtId="166" fontId="2" fillId="0" borderId="19" xfId="1" applyNumberFormat="1" applyFont="1" applyFill="1" applyBorder="1" applyAlignment="1">
      <alignment horizontal="center"/>
    </xf>
    <xf numFmtId="169" fontId="2" fillId="0" borderId="36" xfId="1" applyNumberFormat="1" applyFont="1" applyFill="1" applyBorder="1" applyAlignment="1">
      <alignment horizontal="center"/>
    </xf>
    <xf numFmtId="169" fontId="7" fillId="0" borderId="40" xfId="1" applyNumberFormat="1" applyFont="1" applyBorder="1"/>
    <xf numFmtId="4" fontId="2" fillId="2" borderId="0" xfId="0" applyNumberFormat="1" applyFont="1" applyFill="1"/>
    <xf numFmtId="166" fontId="2" fillId="0" borderId="0" xfId="0" applyNumberFormat="1" applyFont="1"/>
    <xf numFmtId="174" fontId="1" fillId="2" borderId="0" xfId="2" applyNumberFormat="1" applyFont="1" applyFill="1"/>
    <xf numFmtId="0" fontId="7" fillId="0" borderId="0" xfId="0" applyFont="1"/>
    <xf numFmtId="168" fontId="2" fillId="0" borderId="36" xfId="1" applyNumberFormat="1" applyFont="1" applyFill="1" applyBorder="1"/>
    <xf numFmtId="167" fontId="2" fillId="0" borderId="39" xfId="1" applyNumberFormat="1" applyFont="1" applyFill="1" applyBorder="1"/>
    <xf numFmtId="172" fontId="7" fillId="0" borderId="13" xfId="1" applyNumberFormat="1" applyFont="1" applyFill="1" applyBorder="1"/>
    <xf numFmtId="0" fontId="2" fillId="0" borderId="41" xfId="0" applyFont="1" applyFill="1" applyBorder="1"/>
    <xf numFmtId="169" fontId="2" fillId="0" borderId="13" xfId="1" applyNumberFormat="1" applyFont="1" applyFill="1" applyBorder="1"/>
    <xf numFmtId="173" fontId="7" fillId="0" borderId="13" xfId="1" applyNumberFormat="1" applyFont="1" applyFill="1" applyBorder="1"/>
    <xf numFmtId="166" fontId="2" fillId="0" borderId="0" xfId="0" applyNumberFormat="1" applyFont="1" applyFill="1"/>
    <xf numFmtId="174" fontId="1" fillId="0" borderId="0" xfId="2" applyNumberFormat="1" applyFont="1" applyFill="1"/>
    <xf numFmtId="0" fontId="7" fillId="0" borderId="0" xfId="0" applyFont="1" applyFill="1"/>
    <xf numFmtId="0" fontId="7" fillId="12" borderId="42" xfId="0" applyFont="1" applyFill="1" applyBorder="1" applyProtection="1"/>
    <xf numFmtId="169" fontId="7" fillId="12" borderId="43" xfId="1" applyNumberFormat="1" applyFont="1" applyFill="1" applyBorder="1" applyAlignment="1">
      <alignment horizontal="center"/>
    </xf>
    <xf numFmtId="168" fontId="7" fillId="12" borderId="44" xfId="1" applyNumberFormat="1" applyFont="1" applyFill="1" applyBorder="1" applyAlignment="1">
      <alignment horizontal="center"/>
    </xf>
    <xf numFmtId="168" fontId="7" fillId="12" borderId="45" xfId="1" applyNumberFormat="1" applyFont="1" applyFill="1" applyBorder="1" applyAlignment="1">
      <alignment horizontal="center"/>
    </xf>
    <xf numFmtId="167" fontId="7" fillId="12" borderId="44" xfId="1" applyNumberFormat="1" applyFont="1" applyFill="1" applyBorder="1" applyAlignment="1">
      <alignment horizontal="center"/>
    </xf>
    <xf numFmtId="169" fontId="7" fillId="12" borderId="46" xfId="1" applyNumberFormat="1" applyFont="1" applyFill="1" applyBorder="1" applyAlignment="1">
      <alignment horizontal="center"/>
    </xf>
    <xf numFmtId="169" fontId="7" fillId="12" borderId="44" xfId="1" applyNumberFormat="1" applyFont="1" applyFill="1" applyBorder="1" applyAlignment="1">
      <alignment horizontal="center"/>
    </xf>
    <xf numFmtId="169" fontId="7" fillId="12" borderId="47" xfId="1" applyNumberFormat="1" applyFont="1" applyFill="1" applyBorder="1" applyAlignment="1">
      <alignment horizontal="center"/>
    </xf>
    <xf numFmtId="168" fontId="7" fillId="12" borderId="47" xfId="1" applyNumberFormat="1" applyFont="1" applyFill="1" applyBorder="1" applyAlignment="1">
      <alignment horizontal="center"/>
    </xf>
    <xf numFmtId="168" fontId="7" fillId="12" borderId="46" xfId="1" applyNumberFormat="1" applyFont="1" applyFill="1" applyBorder="1" applyAlignment="1">
      <alignment horizontal="center"/>
    </xf>
    <xf numFmtId="168" fontId="7" fillId="12" borderId="48" xfId="1" applyNumberFormat="1" applyFont="1" applyFill="1" applyBorder="1" applyAlignment="1">
      <alignment horizontal="center"/>
    </xf>
    <xf numFmtId="0" fontId="0" fillId="13" borderId="0" xfId="0" applyFill="1"/>
    <xf numFmtId="0" fontId="14" fillId="13" borderId="0" xfId="0" applyFont="1" applyFill="1"/>
    <xf numFmtId="0" fontId="2" fillId="0" borderId="34" xfId="0" applyFont="1" applyFill="1" applyBorder="1"/>
    <xf numFmtId="169" fontId="7" fillId="0" borderId="40" xfId="1" applyNumberFormat="1" applyFont="1" applyFill="1" applyBorder="1"/>
    <xf numFmtId="4" fontId="2" fillId="0" borderId="0" xfId="0" applyNumberFormat="1" applyFont="1" applyFill="1"/>
  </cellXfs>
  <cellStyles count="6">
    <cellStyle name="xl24" xfId="3"/>
    <cellStyle name="Обычный" xfId="0" builtinId="0"/>
    <cellStyle name="Примечание 2" xfId="4"/>
    <cellStyle name="Процентный 2" xfId="2"/>
    <cellStyle name="Стиль 1" xfId="5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42"/>
  <sheetViews>
    <sheetView tabSelected="1" zoomScale="90" zoomScaleNormal="90" zoomScaleSheetLayoutView="70" workbookViewId="0">
      <pane xSplit="1" ySplit="9" topLeftCell="B28" activePane="bottomRight" state="frozen"/>
      <selection activeCell="R10" sqref="R10:R40"/>
      <selection pane="topRight" activeCell="R10" sqref="R10:R40"/>
      <selection pane="bottomLeft" activeCell="R10" sqref="R10:R40"/>
      <selection pane="bottomRight"/>
    </sheetView>
  </sheetViews>
  <sheetFormatPr defaultColWidth="9.08984375" defaultRowHeight="12.5" x14ac:dyDescent="0.25"/>
  <cols>
    <col min="1" max="1" width="30.1796875" customWidth="1"/>
    <col min="2" max="2" width="22" customWidth="1"/>
    <col min="3" max="3" width="20.36328125" customWidth="1"/>
    <col min="4" max="4" width="20.08984375" customWidth="1"/>
    <col min="5" max="5" width="32.90625" customWidth="1"/>
    <col min="6" max="6" width="17.90625" customWidth="1"/>
    <col min="7" max="7" width="23.6328125" customWidth="1"/>
    <col min="8" max="8" width="15.81640625" customWidth="1"/>
    <col min="9" max="10" width="20.08984375" customWidth="1"/>
    <col min="11" max="11" width="17.6328125" customWidth="1"/>
    <col min="12" max="12" width="17.453125" customWidth="1"/>
    <col min="13" max="13" width="12.90625" customWidth="1"/>
    <col min="14" max="14" width="19.54296875" customWidth="1"/>
    <col min="15" max="15" width="16.6328125" customWidth="1"/>
    <col min="16" max="16" width="17.08984375" customWidth="1"/>
    <col min="17" max="17" width="15.81640625" customWidth="1"/>
    <col min="18" max="18" width="21.54296875" customWidth="1"/>
    <col min="19" max="19" width="25.36328125" customWidth="1"/>
    <col min="20" max="20" width="24.36328125" customWidth="1"/>
    <col min="21" max="21" width="29.6328125" customWidth="1"/>
    <col min="22" max="22" width="18" customWidth="1"/>
    <col min="23" max="23" width="23.6328125" customWidth="1"/>
    <col min="24" max="24" width="14" customWidth="1"/>
    <col min="25" max="25" width="16.81640625" customWidth="1"/>
    <col min="26" max="26" width="15.08984375" customWidth="1"/>
    <col min="27" max="27" width="16.1796875" customWidth="1"/>
    <col min="28" max="28" width="20.6328125" hidden="1" customWidth="1"/>
    <col min="29" max="29" width="14.90625" customWidth="1"/>
    <col min="30" max="30" width="15.08984375" customWidth="1"/>
    <col min="31" max="31" width="14" customWidth="1"/>
    <col min="32" max="32" width="15.36328125" hidden="1" customWidth="1"/>
    <col min="33" max="33" width="20.36328125" hidden="1" customWidth="1"/>
    <col min="34" max="34" width="1.1796875" hidden="1" customWidth="1"/>
    <col min="35" max="35" width="25.453125" customWidth="1"/>
    <col min="36" max="36" width="12.81640625" customWidth="1"/>
    <col min="37" max="37" width="16" customWidth="1"/>
    <col min="38" max="38" width="13.08984375" customWidth="1"/>
    <col min="39" max="40" width="23.90625" hidden="1" customWidth="1"/>
    <col min="41" max="41" width="46" customWidth="1"/>
    <col min="42" max="42" width="16.90625" customWidth="1"/>
    <col min="43" max="43" width="21.08984375" customWidth="1"/>
    <col min="44" max="44" width="20.453125" customWidth="1"/>
    <col min="45" max="45" width="32" hidden="1" customWidth="1"/>
    <col min="46" max="46" width="27.453125" hidden="1" customWidth="1"/>
    <col min="47" max="47" width="31.54296875" customWidth="1"/>
    <col min="48" max="48" width="15.1796875" customWidth="1"/>
    <col min="49" max="49" width="24" customWidth="1"/>
    <col min="50" max="50" width="16.1796875" customWidth="1"/>
    <col min="51" max="52" width="17.90625" hidden="1" customWidth="1"/>
    <col min="53" max="53" width="14.90625" hidden="1" customWidth="1"/>
    <col min="54" max="54" width="13.90625" customWidth="1"/>
    <col min="55" max="55" width="12.36328125" style="9" hidden="1" customWidth="1"/>
    <col min="56" max="56" width="13.90625" hidden="1" customWidth="1"/>
    <col min="57" max="59" width="0" style="9" hidden="1" customWidth="1"/>
    <col min="60" max="62" width="12.36328125" style="9" hidden="1" customWidth="1"/>
    <col min="63" max="63" width="11" style="9" hidden="1" customWidth="1"/>
    <col min="64" max="66" width="0" style="9" hidden="1" customWidth="1"/>
    <col min="67" max="67" width="12.36328125" style="9" hidden="1" customWidth="1"/>
    <col min="68" max="68" width="12.90625" style="9" hidden="1" customWidth="1"/>
    <col min="69" max="69" width="13" style="9" hidden="1" customWidth="1"/>
    <col min="70" max="70" width="11" style="9" hidden="1" customWidth="1"/>
    <col min="71" max="71" width="0" style="9" hidden="1" customWidth="1"/>
    <col min="72" max="16384" width="9.08984375" style="9"/>
  </cols>
  <sheetData>
    <row r="1" spans="1:71" s="7" customFormat="1" ht="16.5" customHeight="1" x14ac:dyDescent="0.3">
      <c r="A1" s="1"/>
      <c r="B1" s="2" t="s">
        <v>0</v>
      </c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>
        <v>1000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5"/>
      <c r="AN1" s="6"/>
      <c r="AO1" s="6"/>
      <c r="AP1" s="6"/>
      <c r="AQ1" s="5"/>
      <c r="AR1" s="4"/>
      <c r="AS1" s="5"/>
      <c r="AT1" s="5"/>
      <c r="AU1" s="6"/>
      <c r="AV1" s="6"/>
      <c r="AW1" s="5"/>
      <c r="AX1" s="1"/>
      <c r="BB1" s="1"/>
      <c r="BD1" s="1"/>
    </row>
    <row r="2" spans="1:71" ht="12.75" hidden="1" customHeight="1" x14ac:dyDescent="0.3">
      <c r="B2" s="2"/>
      <c r="C2" s="2"/>
      <c r="D2" s="2"/>
      <c r="E2" s="2"/>
      <c r="F2" s="2"/>
      <c r="G2" s="2"/>
      <c r="H2" s="2"/>
      <c r="I2" s="8"/>
      <c r="J2" s="8"/>
      <c r="K2" s="8"/>
      <c r="L2" s="8"/>
      <c r="M2" s="8"/>
      <c r="N2" s="8"/>
      <c r="O2" s="8"/>
      <c r="P2" s="8"/>
      <c r="Q2" s="8"/>
      <c r="R2" s="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BC2" s="7"/>
      <c r="BD2" s="1"/>
    </row>
    <row r="3" spans="1:71" ht="13.5" thickBot="1" x14ac:dyDescent="0.35">
      <c r="A3" s="10" t="s">
        <v>1</v>
      </c>
      <c r="B3" s="11"/>
      <c r="C3" s="11"/>
      <c r="D3" s="11"/>
      <c r="E3" s="11"/>
      <c r="F3" s="11"/>
      <c r="G3" s="11"/>
      <c r="H3" s="11"/>
      <c r="I3" s="8"/>
      <c r="J3" s="8"/>
      <c r="K3" s="12"/>
      <c r="L3" s="8"/>
      <c r="M3" s="8"/>
      <c r="N3" s="8"/>
      <c r="O3" s="8"/>
      <c r="P3" s="8"/>
      <c r="Q3" s="8"/>
      <c r="R3" s="4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BC3" s="7"/>
      <c r="BD3" s="1"/>
    </row>
    <row r="4" spans="1:71" ht="13.5" customHeight="1" thickTop="1" x14ac:dyDescent="0.3">
      <c r="A4" s="13" t="s">
        <v>2</v>
      </c>
      <c r="B4" s="14"/>
      <c r="C4" s="15"/>
      <c r="D4" s="15"/>
      <c r="E4" s="15"/>
      <c r="F4" s="15"/>
      <c r="G4" s="15"/>
      <c r="H4" s="16"/>
      <c r="I4" s="17"/>
      <c r="J4" s="18"/>
      <c r="K4" s="18"/>
      <c r="L4" s="18"/>
      <c r="M4" s="18"/>
      <c r="N4" s="18"/>
      <c r="O4" s="18"/>
      <c r="P4" s="18"/>
      <c r="Q4" s="19"/>
      <c r="R4" s="17"/>
      <c r="S4" s="18"/>
      <c r="T4" s="18"/>
      <c r="U4" s="18"/>
      <c r="V4" s="18"/>
      <c r="W4" s="18"/>
      <c r="X4" s="19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20"/>
      <c r="AM4" s="17"/>
      <c r="AN4" s="18"/>
      <c r="AO4" s="18"/>
      <c r="AP4" s="18"/>
      <c r="AQ4" s="18"/>
      <c r="AR4" s="20"/>
      <c r="AS4" s="17"/>
      <c r="AT4" s="18"/>
      <c r="AU4" s="18"/>
      <c r="AV4" s="18"/>
      <c r="AW4" s="18"/>
      <c r="AX4" s="20"/>
      <c r="AY4" s="21"/>
      <c r="AZ4" s="22"/>
      <c r="BA4" s="23"/>
      <c r="BB4" s="24"/>
      <c r="BC4" s="7"/>
      <c r="BD4" s="1"/>
    </row>
    <row r="5" spans="1:71" ht="13.5" customHeight="1" thickBot="1" x14ac:dyDescent="0.35">
      <c r="A5" s="25"/>
      <c r="B5" s="26"/>
      <c r="C5" s="27"/>
      <c r="D5" s="27"/>
      <c r="E5" s="28" t="s">
        <v>3</v>
      </c>
      <c r="F5" s="29"/>
      <c r="G5" s="30"/>
      <c r="H5" s="31"/>
      <c r="I5" s="32"/>
      <c r="J5" s="33"/>
      <c r="K5" s="34"/>
      <c r="L5" s="35"/>
      <c r="M5" s="36"/>
      <c r="N5" s="28" t="s">
        <v>4</v>
      </c>
      <c r="O5" s="29"/>
      <c r="P5" s="30"/>
      <c r="Q5" s="31"/>
      <c r="R5" s="37"/>
      <c r="S5" s="27"/>
      <c r="T5" s="27"/>
      <c r="U5" s="28" t="s">
        <v>5</v>
      </c>
      <c r="V5" s="29"/>
      <c r="W5" s="30"/>
      <c r="X5" s="31"/>
      <c r="Y5" s="38"/>
      <c r="Z5" s="27"/>
      <c r="AA5" s="27"/>
      <c r="AB5" s="36"/>
      <c r="AC5" s="36"/>
      <c r="AD5" s="36"/>
      <c r="AE5" s="36"/>
      <c r="AF5" s="36"/>
      <c r="AG5" s="36"/>
      <c r="AH5" s="36"/>
      <c r="AI5" s="28" t="s">
        <v>6</v>
      </c>
      <c r="AJ5" s="29"/>
      <c r="AK5" s="30"/>
      <c r="AL5" s="39"/>
      <c r="AM5" s="37"/>
      <c r="AN5" s="27"/>
      <c r="AO5" s="28" t="s">
        <v>7</v>
      </c>
      <c r="AP5" s="29"/>
      <c r="AQ5" s="30"/>
      <c r="AR5" s="39"/>
      <c r="AS5" s="37"/>
      <c r="AT5" s="27"/>
      <c r="AU5" s="28" t="s">
        <v>8</v>
      </c>
      <c r="AV5" s="29"/>
      <c r="AW5" s="30"/>
      <c r="AX5" s="39"/>
      <c r="AY5" s="40" t="s">
        <v>9</v>
      </c>
      <c r="AZ5" s="41"/>
      <c r="BA5" s="42"/>
      <c r="BB5" s="43"/>
      <c r="BC5" s="7"/>
      <c r="BD5" s="1"/>
    </row>
    <row r="6" spans="1:71" ht="159.75" customHeight="1" thickBot="1" x14ac:dyDescent="0.35">
      <c r="A6" s="25"/>
      <c r="B6" s="44" t="s">
        <v>10</v>
      </c>
      <c r="C6" s="44" t="s">
        <v>11</v>
      </c>
      <c r="D6" s="44" t="s">
        <v>12</v>
      </c>
      <c r="E6" s="44" t="s">
        <v>13</v>
      </c>
      <c r="F6" s="45" t="s">
        <v>14</v>
      </c>
      <c r="G6" s="45" t="s">
        <v>15</v>
      </c>
      <c r="H6" s="46" t="s">
        <v>16</v>
      </c>
      <c r="I6" s="44" t="s">
        <v>17</v>
      </c>
      <c r="J6" s="44" t="s">
        <v>18</v>
      </c>
      <c r="K6" s="44" t="s">
        <v>19</v>
      </c>
      <c r="L6" s="44" t="s">
        <v>20</v>
      </c>
      <c r="M6" s="44" t="s">
        <v>21</v>
      </c>
      <c r="N6" s="44" t="s">
        <v>22</v>
      </c>
      <c r="O6" s="45" t="s">
        <v>14</v>
      </c>
      <c r="P6" s="45" t="s">
        <v>15</v>
      </c>
      <c r="Q6" s="46" t="s">
        <v>16</v>
      </c>
      <c r="R6" s="44" t="s">
        <v>23</v>
      </c>
      <c r="S6" s="44" t="s">
        <v>24</v>
      </c>
      <c r="T6" s="44" t="s">
        <v>25</v>
      </c>
      <c r="U6" s="44" t="s">
        <v>26</v>
      </c>
      <c r="V6" s="45" t="s">
        <v>14</v>
      </c>
      <c r="W6" s="45" t="s">
        <v>15</v>
      </c>
      <c r="X6" s="46" t="s">
        <v>16</v>
      </c>
      <c r="Y6" s="44" t="s">
        <v>27</v>
      </c>
      <c r="Z6" s="44" t="s">
        <v>28</v>
      </c>
      <c r="AA6" s="44" t="s">
        <v>29</v>
      </c>
      <c r="AB6" s="44" t="s">
        <v>30</v>
      </c>
      <c r="AC6" s="44" t="s">
        <v>31</v>
      </c>
      <c r="AD6" s="44" t="s">
        <v>32</v>
      </c>
      <c r="AE6" s="44" t="s">
        <v>33</v>
      </c>
      <c r="AF6" s="47" t="s">
        <v>34</v>
      </c>
      <c r="AG6" s="47" t="s">
        <v>35</v>
      </c>
      <c r="AH6" s="47" t="s">
        <v>36</v>
      </c>
      <c r="AI6" s="44" t="s">
        <v>37</v>
      </c>
      <c r="AJ6" s="45" t="s">
        <v>14</v>
      </c>
      <c r="AK6" s="45" t="s">
        <v>15</v>
      </c>
      <c r="AL6" s="45" t="s">
        <v>16</v>
      </c>
      <c r="AM6" s="48" t="s">
        <v>38</v>
      </c>
      <c r="AN6" s="44" t="s">
        <v>39</v>
      </c>
      <c r="AO6" s="44" t="s">
        <v>40</v>
      </c>
      <c r="AP6" s="45" t="s">
        <v>14</v>
      </c>
      <c r="AQ6" s="45" t="s">
        <v>15</v>
      </c>
      <c r="AR6" s="45" t="s">
        <v>16</v>
      </c>
      <c r="AS6" s="48" t="s">
        <v>41</v>
      </c>
      <c r="AT6" s="44" t="s">
        <v>42</v>
      </c>
      <c r="AU6" s="44" t="s">
        <v>43</v>
      </c>
      <c r="AV6" s="45" t="s">
        <v>14</v>
      </c>
      <c r="AW6" s="45" t="s">
        <v>15</v>
      </c>
      <c r="AX6" s="45" t="s">
        <v>16</v>
      </c>
      <c r="AY6" s="48" t="s">
        <v>44</v>
      </c>
      <c r="AZ6" s="45" t="s">
        <v>14</v>
      </c>
      <c r="BA6" s="46" t="s">
        <v>16</v>
      </c>
      <c r="BB6" s="49" t="s">
        <v>45</v>
      </c>
      <c r="BC6" s="7"/>
      <c r="BD6" s="1" t="s">
        <v>46</v>
      </c>
    </row>
    <row r="7" spans="1:71" ht="53" thickTop="1" thickBot="1" x14ac:dyDescent="0.35">
      <c r="A7" s="50"/>
      <c r="B7" s="51" t="s">
        <v>47</v>
      </c>
      <c r="C7" s="51" t="s">
        <v>48</v>
      </c>
      <c r="D7" s="51" t="s">
        <v>49</v>
      </c>
      <c r="E7" s="51" t="s">
        <v>50</v>
      </c>
      <c r="F7" s="51" t="s">
        <v>51</v>
      </c>
      <c r="G7" s="51" t="s">
        <v>51</v>
      </c>
      <c r="H7" s="52">
        <v>1</v>
      </c>
      <c r="I7" s="51" t="s">
        <v>47</v>
      </c>
      <c r="J7" s="51" t="s">
        <v>48</v>
      </c>
      <c r="K7" s="51" t="s">
        <v>49</v>
      </c>
      <c r="L7" s="51" t="s">
        <v>52</v>
      </c>
      <c r="M7" s="51"/>
      <c r="N7" s="51" t="s">
        <v>53</v>
      </c>
      <c r="O7" s="51" t="s">
        <v>51</v>
      </c>
      <c r="P7" s="51" t="s">
        <v>54</v>
      </c>
      <c r="Q7" s="52">
        <v>1</v>
      </c>
      <c r="R7" s="51" t="s">
        <v>47</v>
      </c>
      <c r="S7" s="51" t="s">
        <v>48</v>
      </c>
      <c r="T7" s="51" t="s">
        <v>49</v>
      </c>
      <c r="U7" s="51" t="s">
        <v>55</v>
      </c>
      <c r="V7" s="51" t="s">
        <v>56</v>
      </c>
      <c r="W7" s="51" t="s">
        <v>56</v>
      </c>
      <c r="X7" s="52">
        <v>1</v>
      </c>
      <c r="Y7" s="51" t="s">
        <v>47</v>
      </c>
      <c r="Z7" s="51" t="s">
        <v>48</v>
      </c>
      <c r="AA7" s="51" t="s">
        <v>49</v>
      </c>
      <c r="AB7" s="51" t="s">
        <v>57</v>
      </c>
      <c r="AC7" s="51" t="s">
        <v>52</v>
      </c>
      <c r="AD7" s="51" t="s">
        <v>58</v>
      </c>
      <c r="AE7" s="51" t="s">
        <v>59</v>
      </c>
      <c r="AF7" s="53"/>
      <c r="AG7" s="53"/>
      <c r="AH7" s="53"/>
      <c r="AI7" s="51" t="s">
        <v>60</v>
      </c>
      <c r="AJ7" s="51" t="s">
        <v>61</v>
      </c>
      <c r="AK7" s="51" t="s">
        <v>62</v>
      </c>
      <c r="AL7" s="51">
        <v>1.5</v>
      </c>
      <c r="AM7" s="51" t="s">
        <v>47</v>
      </c>
      <c r="AN7" s="51" t="s">
        <v>48</v>
      </c>
      <c r="AO7" s="51" t="s">
        <v>63</v>
      </c>
      <c r="AP7" s="51" t="s">
        <v>51</v>
      </c>
      <c r="AQ7" s="51" t="s">
        <v>51</v>
      </c>
      <c r="AR7" s="51">
        <v>1</v>
      </c>
      <c r="AS7" s="51" t="s">
        <v>47</v>
      </c>
      <c r="AT7" s="51" t="s">
        <v>48</v>
      </c>
      <c r="AU7" s="51" t="s">
        <v>63</v>
      </c>
      <c r="AV7" s="51" t="s">
        <v>51</v>
      </c>
      <c r="AW7" s="51" t="s">
        <v>51</v>
      </c>
      <c r="AX7" s="51">
        <v>1</v>
      </c>
      <c r="AY7" s="54" t="s">
        <v>47</v>
      </c>
      <c r="AZ7" s="51">
        <v>1</v>
      </c>
      <c r="BA7" s="55">
        <v>1</v>
      </c>
      <c r="BB7" s="56"/>
      <c r="BC7" s="7"/>
      <c r="BD7" s="1"/>
    </row>
    <row r="8" spans="1:71" ht="14.5" thickTop="1" thickBot="1" x14ac:dyDescent="0.35">
      <c r="A8" s="57"/>
      <c r="B8" s="58" t="s">
        <v>64</v>
      </c>
      <c r="C8" s="58" t="s">
        <v>64</v>
      </c>
      <c r="D8" s="58" t="s">
        <v>64</v>
      </c>
      <c r="E8" s="58"/>
      <c r="F8" s="58"/>
      <c r="G8" s="58"/>
      <c r="H8" s="59"/>
      <c r="I8" s="60"/>
      <c r="J8" s="58"/>
      <c r="K8" s="58"/>
      <c r="L8" s="61"/>
      <c r="M8" s="61"/>
      <c r="N8" s="58"/>
      <c r="O8" s="58"/>
      <c r="P8" s="58"/>
      <c r="Q8" s="59"/>
      <c r="R8" s="60"/>
      <c r="S8" s="58"/>
      <c r="T8" s="58"/>
      <c r="U8" s="58"/>
      <c r="V8" s="58"/>
      <c r="W8" s="58"/>
      <c r="X8" s="59"/>
      <c r="Y8" s="62" t="s">
        <v>64</v>
      </c>
      <c r="Z8" s="58"/>
      <c r="AA8" s="58"/>
      <c r="AB8" s="61"/>
      <c r="AC8" s="62"/>
      <c r="AD8" s="58"/>
      <c r="AE8" s="58"/>
      <c r="AF8" s="58"/>
      <c r="AG8" s="58"/>
      <c r="AH8" s="58"/>
      <c r="AI8" s="58"/>
      <c r="AJ8" s="58"/>
      <c r="AK8" s="58"/>
      <c r="AL8" s="58"/>
      <c r="AM8" s="63"/>
      <c r="AN8" s="58"/>
      <c r="AO8" s="58"/>
      <c r="AP8" s="58"/>
      <c r="AQ8" s="58"/>
      <c r="AR8" s="58"/>
      <c r="AS8" s="63"/>
      <c r="AT8" s="58"/>
      <c r="AU8" s="58"/>
      <c r="AV8" s="58"/>
      <c r="AW8" s="58"/>
      <c r="AX8" s="58"/>
      <c r="AY8" s="64"/>
      <c r="AZ8" s="58"/>
      <c r="BA8" s="59"/>
      <c r="BB8" s="65"/>
      <c r="BC8" s="7"/>
      <c r="BD8" s="1"/>
      <c r="BM8" s="66" t="s">
        <v>65</v>
      </c>
    </row>
    <row r="9" spans="1:71" ht="14" thickTop="1" thickBot="1" x14ac:dyDescent="0.35">
      <c r="A9" s="67"/>
      <c r="B9" s="68"/>
      <c r="C9" s="68"/>
      <c r="D9" s="68"/>
      <c r="E9" s="68"/>
      <c r="F9" s="68"/>
      <c r="G9" s="68"/>
      <c r="H9" s="69"/>
      <c r="I9" s="70"/>
      <c r="J9" s="68"/>
      <c r="K9" s="68"/>
      <c r="L9" s="68"/>
      <c r="M9" s="68"/>
      <c r="N9" s="68"/>
      <c r="O9" s="68"/>
      <c r="P9" s="68"/>
      <c r="Q9" s="69"/>
      <c r="R9" s="70"/>
      <c r="S9" s="68"/>
      <c r="T9" s="68"/>
      <c r="U9" s="68"/>
      <c r="V9" s="68"/>
      <c r="W9" s="68"/>
      <c r="X9" s="69"/>
      <c r="Y9" s="71"/>
      <c r="Z9" s="68"/>
      <c r="AA9" s="68"/>
      <c r="AB9" s="68"/>
      <c r="AC9" s="68"/>
      <c r="AD9" s="68"/>
      <c r="AE9" s="68"/>
      <c r="AF9" s="68"/>
      <c r="AG9" s="68"/>
      <c r="AH9" s="68"/>
      <c r="AI9" s="72" t="s">
        <v>66</v>
      </c>
      <c r="AJ9" s="68"/>
      <c r="AK9" s="68"/>
      <c r="AL9" s="68"/>
      <c r="AM9" s="70"/>
      <c r="AN9" s="68"/>
      <c r="AO9" s="68"/>
      <c r="AP9" s="68"/>
      <c r="AQ9" s="68"/>
      <c r="AR9" s="68"/>
      <c r="AS9" s="70"/>
      <c r="AT9" s="68"/>
      <c r="AU9" s="68"/>
      <c r="AV9" s="68"/>
      <c r="AW9" s="68"/>
      <c r="AX9" s="68"/>
      <c r="AY9" s="70"/>
      <c r="AZ9" s="68"/>
      <c r="BA9" s="69"/>
      <c r="BB9" s="73"/>
      <c r="BC9" s="7"/>
      <c r="BD9" s="1"/>
      <c r="BG9" s="9" t="s">
        <v>67</v>
      </c>
      <c r="BH9" s="74" t="s">
        <v>68</v>
      </c>
      <c r="BI9" s="9" t="s">
        <v>69</v>
      </c>
      <c r="BJ9" s="9" t="s">
        <v>70</v>
      </c>
      <c r="BK9" s="9" t="s">
        <v>71</v>
      </c>
      <c r="BM9" s="66" t="s">
        <v>72</v>
      </c>
      <c r="BN9" s="9" t="s">
        <v>73</v>
      </c>
      <c r="BO9" s="74" t="s">
        <v>74</v>
      </c>
      <c r="BP9" s="9" t="s">
        <v>75</v>
      </c>
      <c r="BQ9" s="9" t="s">
        <v>76</v>
      </c>
      <c r="BR9" s="9" t="s">
        <v>71</v>
      </c>
    </row>
    <row r="10" spans="1:71" s="8" customFormat="1" ht="13.5" thickTop="1" x14ac:dyDescent="0.3">
      <c r="A10" s="124" t="s">
        <v>77</v>
      </c>
      <c r="B10" s="76">
        <v>2584139.9</v>
      </c>
      <c r="C10" s="76">
        <v>404745.6</v>
      </c>
      <c r="D10" s="76">
        <v>2584139.9</v>
      </c>
      <c r="E10" s="82">
        <f>IF(AND(B10=0,D10=0),0,B10/(IF(C10&gt;0,C10,0)+D10))</f>
        <v>0.86458310296597174</v>
      </c>
      <c r="F10" s="102">
        <f>IF(E10&lt;=1.05,1,0)</f>
        <v>1</v>
      </c>
      <c r="G10" s="90"/>
      <c r="H10" s="91">
        <f t="shared" ref="H10:H36" si="0">F10+G10</f>
        <v>1</v>
      </c>
      <c r="I10" s="76">
        <v>2796139.9</v>
      </c>
      <c r="J10" s="76">
        <v>19846352.5</v>
      </c>
      <c r="K10" s="76">
        <v>14636802.699999999</v>
      </c>
      <c r="L10" s="76">
        <v>372948.6</v>
      </c>
      <c r="M10" s="76">
        <v>0</v>
      </c>
      <c r="N10" s="82">
        <f>(I10)/(J10-K10-L10)</f>
        <v>0.57812082997456959</v>
      </c>
      <c r="O10" s="102">
        <f t="shared" ref="O10:O16" si="1">IF(N10&lt;=1,1,0)</f>
        <v>1</v>
      </c>
      <c r="P10" s="90"/>
      <c r="Q10" s="91">
        <f t="shared" ref="Q10:Q36" si="2">O10+P10</f>
        <v>1</v>
      </c>
      <c r="R10" s="83">
        <v>297582.59999999998</v>
      </c>
      <c r="S10" s="76">
        <v>20686170.699999999</v>
      </c>
      <c r="T10" s="84">
        <v>6239480.2470000004</v>
      </c>
      <c r="U10" s="82">
        <f>R10/(S10-T10)</f>
        <v>2.0598669360857247E-2</v>
      </c>
      <c r="V10" s="102">
        <f t="shared" ref="V10:V16" si="3">IF(U10&lt;=0.15,1,0)</f>
        <v>1</v>
      </c>
      <c r="W10" s="90"/>
      <c r="X10" s="91">
        <f>V10+W10</f>
        <v>1</v>
      </c>
      <c r="Y10" s="76">
        <f>C10</f>
        <v>404745.6</v>
      </c>
      <c r="Z10" s="85"/>
      <c r="AA10" s="86">
        <v>404745.6</v>
      </c>
      <c r="AB10" s="86"/>
      <c r="AC10" s="86">
        <f t="shared" ref="AC10:AE36" si="4">J10</f>
        <v>19846352.5</v>
      </c>
      <c r="AD10" s="86">
        <f t="shared" si="4"/>
        <v>14636802.699999999</v>
      </c>
      <c r="AE10" s="86">
        <f t="shared" si="4"/>
        <v>372948.6</v>
      </c>
      <c r="AF10" s="86">
        <f>AC10-AD10-AE10</f>
        <v>4836601.2000000011</v>
      </c>
      <c r="AG10" s="86">
        <f t="shared" ref="AG10:AG24" si="5">AF10*10%</f>
        <v>483660.12000000011</v>
      </c>
      <c r="AH10" s="86">
        <f t="shared" ref="AH10:AH36" si="6">IF(AA10&gt;0,AA10,0)+AG10+IF(AB10&gt;0,AB10,0)</f>
        <v>888405.72000000009</v>
      </c>
      <c r="AI10" s="104">
        <f t="shared" ref="AI10:AI36" si="7">IF((Y10-IF(Z10&gt;0,Z10,0)-IF(AA10&gt;0,AA10,0)-IF(AB10&gt;0,AB10,0))/(AC10-AD10-AE10)&gt;0,(Y10-IF(Z10&gt;0,Z10,0)-IF(AA10&gt;0,AA10,0)-IF(AB10&gt;0,AB10,0))/(AC10-AD10-AE10),0)</f>
        <v>0</v>
      </c>
      <c r="AJ10" s="89">
        <f>IF(AI10&lt;=0.1,1.5,0)</f>
        <v>1.5</v>
      </c>
      <c r="AK10" s="90"/>
      <c r="AL10" s="91">
        <f t="shared" ref="AL10:AL36" si="8">AJ10+AK10</f>
        <v>1.5</v>
      </c>
      <c r="AM10" s="92"/>
      <c r="AN10" s="90"/>
      <c r="AO10" s="104">
        <v>0.83899999999999997</v>
      </c>
      <c r="AP10" s="89">
        <f>IF(AO10&lt;=1.05,1,0)</f>
        <v>1</v>
      </c>
      <c r="AQ10" s="90"/>
      <c r="AR10" s="107">
        <f t="shared" ref="AR10:AR36" si="9">AP10+AQ10</f>
        <v>1</v>
      </c>
      <c r="AS10" s="92"/>
      <c r="AT10" s="90"/>
      <c r="AU10" s="104">
        <v>0.88600000000000001</v>
      </c>
      <c r="AV10" s="89">
        <f>IF(AU10&lt;=1.05,1,0)</f>
        <v>1</v>
      </c>
      <c r="AW10" s="90"/>
      <c r="AX10" s="107">
        <f t="shared" ref="AX10:AX36" si="10">AV10+AW10</f>
        <v>1</v>
      </c>
      <c r="AY10" s="95"/>
      <c r="AZ10" s="96"/>
      <c r="BA10" s="89">
        <f>AZ10</f>
        <v>0</v>
      </c>
      <c r="BB10" s="125">
        <f>H10+Q10+X10+AL10+BA10+AR10+AX10</f>
        <v>6.5</v>
      </c>
      <c r="BC10" s="126">
        <v>17146147.77</v>
      </c>
      <c r="BD10" s="108">
        <v>934451.47</v>
      </c>
      <c r="BF10" s="109">
        <f t="shared" ref="BF10:BF40" si="11">(AD10+AE10-T10)/(AC10-T10)</f>
        <v>0.64454717365824898</v>
      </c>
      <c r="BG10" s="8">
        <f>IF(($BF10&lt;=10%),1,0)</f>
        <v>0</v>
      </c>
      <c r="BH10" s="110">
        <f>IF(AND(BF10&gt;10%,BF10&lt;30%),1,0)</f>
        <v>0</v>
      </c>
      <c r="BI10" s="110">
        <f>IF(AND(BF10&gt;30%,BF10&lt;70%),1,0)</f>
        <v>1</v>
      </c>
      <c r="BJ10" s="110">
        <f>IF(AND(BF10&gt;70%,BF10&lt;90%),1,0)</f>
        <v>0</v>
      </c>
      <c r="BK10" s="8">
        <f>IF(($BF10&gt;=90%),1,0)</f>
        <v>0</v>
      </c>
      <c r="BM10" s="109">
        <f t="shared" ref="BM10:BM40" si="12">(BD10+L10)/(J10-T10)</f>
        <v>9.6083805718962967E-2</v>
      </c>
      <c r="BN10" s="8">
        <f>IF(($BM10&lt;=4.9%),1,0)</f>
        <v>0</v>
      </c>
      <c r="BO10" s="110">
        <f>IF(AND(BM10&gt;5%,BM10&lt;19.9%),1,0)</f>
        <v>1</v>
      </c>
      <c r="BP10" s="110">
        <f>IF(AND(BM10&gt;20%,BM10&lt;49.9%),1,0)</f>
        <v>0</v>
      </c>
      <c r="BQ10" s="110">
        <f>IF(AND(BM10&gt;50%,BM10&lt;89.9%),1,0)</f>
        <v>0</v>
      </c>
      <c r="BR10" s="8">
        <f>IF((BM10&gt;=90%),1,0)</f>
        <v>0</v>
      </c>
      <c r="BS10" s="109">
        <f>BC10/J10</f>
        <v>0.86394453439240282</v>
      </c>
    </row>
    <row r="11" spans="1:71" s="8" customFormat="1" ht="13" x14ac:dyDescent="0.3">
      <c r="A11" s="105" t="s">
        <v>78</v>
      </c>
      <c r="B11" s="76">
        <v>0</v>
      </c>
      <c r="C11" s="76">
        <v>19578.8</v>
      </c>
      <c r="D11" s="76">
        <v>16500</v>
      </c>
      <c r="E11" s="82">
        <f t="shared" ref="E11:E36" si="13">IF(AND(B11=0,D11=0),0,B11/(IF(C11&gt;0,C11,0)+D11))</f>
        <v>0</v>
      </c>
      <c r="F11" s="102">
        <f t="shared" ref="F11:F17" si="14">IF(E11&lt;=1.05,1,0)</f>
        <v>1</v>
      </c>
      <c r="G11" s="90"/>
      <c r="H11" s="91">
        <f t="shared" si="0"/>
        <v>1</v>
      </c>
      <c r="I11" s="76">
        <v>33000</v>
      </c>
      <c r="J11" s="76">
        <v>2261425.2999999998</v>
      </c>
      <c r="K11" s="76">
        <v>1451248.1</v>
      </c>
      <c r="L11" s="76">
        <v>441128.3</v>
      </c>
      <c r="M11" s="76">
        <v>0</v>
      </c>
      <c r="N11" s="82">
        <f t="shared" ref="N11:N36" si="15">(I11)/(J11-K11-L11)</f>
        <v>8.9419044468090875E-2</v>
      </c>
      <c r="O11" s="102">
        <f t="shared" si="1"/>
        <v>1</v>
      </c>
      <c r="P11" s="90"/>
      <c r="Q11" s="91">
        <f t="shared" si="2"/>
        <v>1</v>
      </c>
      <c r="R11" s="103">
        <v>48</v>
      </c>
      <c r="S11" s="76">
        <v>2281899</v>
      </c>
      <c r="T11" s="84">
        <v>836524.89599999995</v>
      </c>
      <c r="U11" s="82">
        <f t="shared" ref="U11:U36" si="16">R11/(S11-T11)</f>
        <v>3.3209395316522152E-5</v>
      </c>
      <c r="V11" s="102">
        <f t="shared" si="3"/>
        <v>1</v>
      </c>
      <c r="W11" s="90"/>
      <c r="X11" s="91">
        <f t="shared" ref="X11:X36" si="17">V11+W11</f>
        <v>1</v>
      </c>
      <c r="Y11" s="76">
        <f t="shared" ref="Y11:Y36" si="18">C11</f>
        <v>19578.8</v>
      </c>
      <c r="Z11" s="86"/>
      <c r="AA11" s="86">
        <v>36078.800000000003</v>
      </c>
      <c r="AB11" s="86"/>
      <c r="AC11" s="86">
        <f t="shared" si="4"/>
        <v>2261425.2999999998</v>
      </c>
      <c r="AD11" s="86">
        <f t="shared" si="4"/>
        <v>1451248.1</v>
      </c>
      <c r="AE11" s="86">
        <f t="shared" si="4"/>
        <v>441128.3</v>
      </c>
      <c r="AF11" s="86">
        <f t="shared" ref="AF11:AF36" si="19">AC11-AD11-AE11</f>
        <v>369048.89999999973</v>
      </c>
      <c r="AG11" s="86">
        <f t="shared" si="5"/>
        <v>36904.889999999978</v>
      </c>
      <c r="AH11" s="86">
        <f t="shared" si="6"/>
        <v>72983.689999999973</v>
      </c>
      <c r="AI11" s="104">
        <f t="shared" si="7"/>
        <v>0</v>
      </c>
      <c r="AJ11" s="89">
        <f t="shared" ref="AJ11:AJ17" si="20">IF(AI11&lt;=0.1,1.5,0)</f>
        <v>1.5</v>
      </c>
      <c r="AK11" s="90"/>
      <c r="AL11" s="91">
        <f t="shared" si="8"/>
        <v>1.5</v>
      </c>
      <c r="AM11" s="92"/>
      <c r="AN11" s="90"/>
      <c r="AO11" s="104">
        <v>0.99199999999999999</v>
      </c>
      <c r="AP11" s="89">
        <f t="shared" ref="AP11:AP17" si="21">IF(AO11&lt;=1.05,1,0)</f>
        <v>1</v>
      </c>
      <c r="AQ11" s="90"/>
      <c r="AR11" s="107">
        <f t="shared" si="9"/>
        <v>1</v>
      </c>
      <c r="AS11" s="92"/>
      <c r="AT11" s="90"/>
      <c r="AU11" s="104">
        <v>0.88800000000000001</v>
      </c>
      <c r="AV11" s="89">
        <f t="shared" ref="AV11:AV17" si="22">IF(AU11&lt;=1.05,1,0)</f>
        <v>1</v>
      </c>
      <c r="AW11" s="90"/>
      <c r="AX11" s="107">
        <f t="shared" si="10"/>
        <v>1</v>
      </c>
      <c r="AY11" s="95"/>
      <c r="AZ11" s="96"/>
      <c r="BA11" s="89">
        <f t="shared" ref="BA11:BA36" si="23">AZ11</f>
        <v>0</v>
      </c>
      <c r="BB11" s="125">
        <f t="shared" ref="BB11:BB40" si="24">H11+Q11+X11+AL11+BA11+AR11+AX11</f>
        <v>6.5</v>
      </c>
      <c r="BC11" s="126">
        <v>1692665.49</v>
      </c>
      <c r="BD11" s="108">
        <v>42722.347000000002</v>
      </c>
      <c r="BF11" s="109">
        <f t="shared" si="11"/>
        <v>0.7410002137945918</v>
      </c>
      <c r="BG11" s="8">
        <f t="shared" ref="BG11:BG40" si="25">IF(($BF11&lt;=10%),1,0)</f>
        <v>0</v>
      </c>
      <c r="BH11" s="110">
        <f t="shared" ref="BH11:BH40" si="26">IF(AND(BF11&gt;10%,BF11&lt;30%),1,0)</f>
        <v>0</v>
      </c>
      <c r="BI11" s="110">
        <f t="shared" ref="BI11:BI40" si="27">IF(AND(BF11&gt;30%,BF11&lt;70%),1,0)</f>
        <v>0</v>
      </c>
      <c r="BJ11" s="110">
        <f t="shared" ref="BJ11:BJ40" si="28">IF(AND(BF11&gt;70%,BF11&lt;90%),1,0)</f>
        <v>1</v>
      </c>
      <c r="BK11" s="8">
        <f t="shared" ref="BK11:BK40" si="29">IF(($BF11&gt;=90%),1,0)</f>
        <v>0</v>
      </c>
      <c r="BM11" s="109">
        <f t="shared" si="12"/>
        <v>0.33956804675030472</v>
      </c>
      <c r="BN11" s="8">
        <f t="shared" ref="BN11:BN40" si="30">IF(($BM11&lt;=4.9%),1,0)</f>
        <v>0</v>
      </c>
      <c r="BO11" s="110">
        <f t="shared" ref="BO11:BO40" si="31">IF(AND(BM11&gt;5%,BM11&lt;19.9%),1,0)</f>
        <v>0</v>
      </c>
      <c r="BP11" s="110">
        <f t="shared" ref="BP11:BP40" si="32">IF(AND(BM11&gt;20%,BM11&lt;49.9%),1,0)</f>
        <v>1</v>
      </c>
      <c r="BQ11" s="110">
        <f t="shared" ref="BQ11:BQ40" si="33">IF(AND(BM11&gt;50%,BM11&lt;89.9%),1,0)</f>
        <v>0</v>
      </c>
      <c r="BR11" s="8">
        <f t="shared" ref="BR11:BR40" si="34">IF((BM11&gt;=90%),1,0)</f>
        <v>0</v>
      </c>
      <c r="BS11" s="109">
        <f t="shared" ref="BS11:BS40" si="35">BC11/J11</f>
        <v>0.74849498234586842</v>
      </c>
    </row>
    <row r="12" spans="1:71" s="8" customFormat="1" ht="13" x14ac:dyDescent="0.3">
      <c r="A12" s="105" t="s">
        <v>79</v>
      </c>
      <c r="B12" s="76">
        <v>0</v>
      </c>
      <c r="C12" s="76">
        <v>7550.9</v>
      </c>
      <c r="D12" s="76">
        <v>13666.7</v>
      </c>
      <c r="E12" s="82">
        <f t="shared" si="13"/>
        <v>0</v>
      </c>
      <c r="F12" s="102">
        <f t="shared" si="14"/>
        <v>1</v>
      </c>
      <c r="G12" s="90"/>
      <c r="H12" s="91">
        <f t="shared" si="0"/>
        <v>1</v>
      </c>
      <c r="I12" s="76">
        <v>27333.3</v>
      </c>
      <c r="J12" s="76">
        <v>2068964.6</v>
      </c>
      <c r="K12" s="76">
        <v>1520101.9</v>
      </c>
      <c r="L12" s="76">
        <v>292798.8</v>
      </c>
      <c r="M12" s="76">
        <v>0</v>
      </c>
      <c r="N12" s="82">
        <f t="shared" si="15"/>
        <v>0.10674405880719609</v>
      </c>
      <c r="O12" s="102">
        <f t="shared" si="1"/>
        <v>1</v>
      </c>
      <c r="P12" s="90"/>
      <c r="Q12" s="91">
        <f t="shared" si="2"/>
        <v>1</v>
      </c>
      <c r="R12" s="103">
        <v>39.799999999999997</v>
      </c>
      <c r="S12" s="76">
        <v>2076515.5</v>
      </c>
      <c r="T12" s="84">
        <v>756133.16399999999</v>
      </c>
      <c r="U12" s="82">
        <f t="shared" si="16"/>
        <v>3.0142784339702037E-5</v>
      </c>
      <c r="V12" s="102">
        <f t="shared" si="3"/>
        <v>1</v>
      </c>
      <c r="W12" s="90"/>
      <c r="X12" s="91">
        <f t="shared" si="17"/>
        <v>1</v>
      </c>
      <c r="Y12" s="76">
        <f t="shared" si="18"/>
        <v>7550.9</v>
      </c>
      <c r="Z12" s="86"/>
      <c r="AA12" s="86">
        <v>21217.5</v>
      </c>
      <c r="AB12" s="86"/>
      <c r="AC12" s="86">
        <f t="shared" si="4"/>
        <v>2068964.6</v>
      </c>
      <c r="AD12" s="86">
        <f t="shared" si="4"/>
        <v>1520101.9</v>
      </c>
      <c r="AE12" s="86">
        <f t="shared" si="4"/>
        <v>292798.8</v>
      </c>
      <c r="AF12" s="86">
        <f t="shared" si="19"/>
        <v>256063.9000000002</v>
      </c>
      <c r="AG12" s="86">
        <f t="shared" si="5"/>
        <v>25606.390000000021</v>
      </c>
      <c r="AH12" s="86">
        <f t="shared" si="6"/>
        <v>46823.890000000021</v>
      </c>
      <c r="AI12" s="104">
        <f t="shared" si="7"/>
        <v>0</v>
      </c>
      <c r="AJ12" s="89">
        <f t="shared" si="20"/>
        <v>1.5</v>
      </c>
      <c r="AK12" s="90"/>
      <c r="AL12" s="91">
        <f t="shared" si="8"/>
        <v>1.5</v>
      </c>
      <c r="AM12" s="92"/>
      <c r="AN12" s="90"/>
      <c r="AO12" s="104">
        <v>0.91200000000000003</v>
      </c>
      <c r="AP12" s="89">
        <f t="shared" si="21"/>
        <v>1</v>
      </c>
      <c r="AQ12" s="90"/>
      <c r="AR12" s="107">
        <f t="shared" si="9"/>
        <v>1</v>
      </c>
      <c r="AS12" s="92"/>
      <c r="AT12" s="90"/>
      <c r="AU12" s="104">
        <v>0.84399999999999997</v>
      </c>
      <c r="AV12" s="89">
        <f t="shared" si="22"/>
        <v>1</v>
      </c>
      <c r="AW12" s="90"/>
      <c r="AX12" s="107">
        <f t="shared" si="10"/>
        <v>1</v>
      </c>
      <c r="AY12" s="95"/>
      <c r="AZ12" s="96"/>
      <c r="BA12" s="89">
        <f t="shared" si="23"/>
        <v>0</v>
      </c>
      <c r="BB12" s="125">
        <f t="shared" si="24"/>
        <v>6.5</v>
      </c>
      <c r="BC12" s="126">
        <v>1242984.6599999999</v>
      </c>
      <c r="BD12" s="108">
        <v>11194.516</v>
      </c>
      <c r="BF12" s="109">
        <f t="shared" si="11"/>
        <v>0.80495294903952896</v>
      </c>
      <c r="BG12" s="8">
        <f t="shared" si="25"/>
        <v>0</v>
      </c>
      <c r="BH12" s="110">
        <f t="shared" si="26"/>
        <v>0</v>
      </c>
      <c r="BI12" s="110">
        <f t="shared" si="27"/>
        <v>0</v>
      </c>
      <c r="BJ12" s="110">
        <f t="shared" si="28"/>
        <v>1</v>
      </c>
      <c r="BK12" s="8">
        <f t="shared" si="29"/>
        <v>0</v>
      </c>
      <c r="BM12" s="109">
        <f t="shared" si="12"/>
        <v>0.23155548203981302</v>
      </c>
      <c r="BN12" s="8">
        <f t="shared" si="30"/>
        <v>0</v>
      </c>
      <c r="BO12" s="110">
        <f t="shared" si="31"/>
        <v>0</v>
      </c>
      <c r="BP12" s="110">
        <f t="shared" si="32"/>
        <v>1</v>
      </c>
      <c r="BQ12" s="110">
        <f t="shared" si="33"/>
        <v>0</v>
      </c>
      <c r="BR12" s="8">
        <f t="shared" si="34"/>
        <v>0</v>
      </c>
      <c r="BS12" s="109">
        <f t="shared" si="35"/>
        <v>0.60077618534410882</v>
      </c>
    </row>
    <row r="13" spans="1:71" s="8" customFormat="1" ht="13" x14ac:dyDescent="0.3">
      <c r="A13" s="105" t="s">
        <v>80</v>
      </c>
      <c r="B13" s="76">
        <v>0</v>
      </c>
      <c r="C13" s="76">
        <v>140194.79999999999</v>
      </c>
      <c r="D13" s="76">
        <v>7000</v>
      </c>
      <c r="E13" s="82">
        <f t="shared" si="13"/>
        <v>0</v>
      </c>
      <c r="F13" s="102">
        <f t="shared" si="14"/>
        <v>1</v>
      </c>
      <c r="G13" s="90"/>
      <c r="H13" s="91">
        <f t="shared" si="0"/>
        <v>1</v>
      </c>
      <c r="I13" s="76">
        <v>0</v>
      </c>
      <c r="J13" s="76">
        <v>711631.6</v>
      </c>
      <c r="K13" s="76">
        <v>453770.9</v>
      </c>
      <c r="L13" s="76">
        <v>112474.8</v>
      </c>
      <c r="M13" s="76">
        <v>0</v>
      </c>
      <c r="N13" s="82">
        <f t="shared" si="15"/>
        <v>0</v>
      </c>
      <c r="O13" s="102">
        <f t="shared" si="1"/>
        <v>1</v>
      </c>
      <c r="P13" s="90"/>
      <c r="Q13" s="91">
        <f t="shared" si="2"/>
        <v>1</v>
      </c>
      <c r="R13" s="103">
        <v>1.6</v>
      </c>
      <c r="S13" s="76">
        <v>851775.6</v>
      </c>
      <c r="T13" s="84">
        <v>247076.367</v>
      </c>
      <c r="U13" s="82">
        <f t="shared" si="16"/>
        <v>2.6459434917126811E-6</v>
      </c>
      <c r="V13" s="102">
        <f t="shared" si="3"/>
        <v>1</v>
      </c>
      <c r="W13" s="90"/>
      <c r="X13" s="91">
        <f t="shared" si="17"/>
        <v>1</v>
      </c>
      <c r="Y13" s="76">
        <f t="shared" si="18"/>
        <v>140194.79999999999</v>
      </c>
      <c r="Z13" s="86"/>
      <c r="AA13" s="86">
        <v>147194.79999999999</v>
      </c>
      <c r="AB13" s="86"/>
      <c r="AC13" s="86">
        <f t="shared" si="4"/>
        <v>711631.6</v>
      </c>
      <c r="AD13" s="86">
        <f t="shared" si="4"/>
        <v>453770.9</v>
      </c>
      <c r="AE13" s="86">
        <f t="shared" si="4"/>
        <v>112474.8</v>
      </c>
      <c r="AF13" s="86">
        <f t="shared" si="19"/>
        <v>145385.89999999997</v>
      </c>
      <c r="AG13" s="86">
        <f>AF13*5%</f>
        <v>7269.2949999999983</v>
      </c>
      <c r="AH13" s="86">
        <f t="shared" si="6"/>
        <v>154464.09499999997</v>
      </c>
      <c r="AI13" s="104">
        <f t="shared" si="7"/>
        <v>0</v>
      </c>
      <c r="AJ13" s="89">
        <f t="shared" si="20"/>
        <v>1.5</v>
      </c>
      <c r="AK13" s="106"/>
      <c r="AL13" s="91">
        <f t="shared" si="8"/>
        <v>1.5</v>
      </c>
      <c r="AM13" s="92"/>
      <c r="AN13" s="90"/>
      <c r="AO13" s="104">
        <v>0.89500000000000002</v>
      </c>
      <c r="AP13" s="89">
        <f t="shared" si="21"/>
        <v>1</v>
      </c>
      <c r="AQ13" s="106"/>
      <c r="AR13" s="107">
        <f t="shared" si="9"/>
        <v>1</v>
      </c>
      <c r="AS13" s="92"/>
      <c r="AT13" s="90"/>
      <c r="AU13" s="104">
        <v>0.90100000000000002</v>
      </c>
      <c r="AV13" s="89">
        <f t="shared" si="22"/>
        <v>1</v>
      </c>
      <c r="AW13" s="106"/>
      <c r="AX13" s="107">
        <f t="shared" si="10"/>
        <v>1</v>
      </c>
      <c r="AY13" s="95"/>
      <c r="AZ13" s="96"/>
      <c r="BA13" s="89">
        <f t="shared" si="23"/>
        <v>0</v>
      </c>
      <c r="BB13" s="125">
        <f t="shared" si="24"/>
        <v>6.5</v>
      </c>
      <c r="BC13" s="126">
        <v>506242.72</v>
      </c>
      <c r="BD13" s="108">
        <v>28656.571</v>
      </c>
      <c r="BF13" s="109">
        <f t="shared" si="11"/>
        <v>0.68704281068770157</v>
      </c>
      <c r="BG13" s="8">
        <f t="shared" si="25"/>
        <v>0</v>
      </c>
      <c r="BH13" s="110">
        <f t="shared" si="26"/>
        <v>0</v>
      </c>
      <c r="BI13" s="110">
        <f t="shared" si="27"/>
        <v>1</v>
      </c>
      <c r="BJ13" s="110">
        <f t="shared" si="28"/>
        <v>0</v>
      </c>
      <c r="BK13" s="8">
        <f t="shared" si="29"/>
        <v>0</v>
      </c>
      <c r="BM13" s="109">
        <f t="shared" si="12"/>
        <v>0.30379890479029437</v>
      </c>
      <c r="BN13" s="8">
        <f t="shared" si="30"/>
        <v>0</v>
      </c>
      <c r="BO13" s="110">
        <f t="shared" si="31"/>
        <v>0</v>
      </c>
      <c r="BP13" s="110">
        <f t="shared" si="32"/>
        <v>1</v>
      </c>
      <c r="BQ13" s="110">
        <f t="shared" si="33"/>
        <v>0</v>
      </c>
      <c r="BR13" s="8">
        <f t="shared" si="34"/>
        <v>0</v>
      </c>
      <c r="BS13" s="109">
        <f t="shared" si="35"/>
        <v>0.71138313700515832</v>
      </c>
    </row>
    <row r="14" spans="1:71" s="8" customFormat="1" ht="13" x14ac:dyDescent="0.3">
      <c r="A14" s="105" t="s">
        <v>81</v>
      </c>
      <c r="B14" s="76">
        <v>0</v>
      </c>
      <c r="C14" s="76">
        <v>7780.2</v>
      </c>
      <c r="D14" s="76">
        <v>6500</v>
      </c>
      <c r="E14" s="82">
        <f>IF(AND(B14=0,D14=0),0,B14/(IF(C14&gt;0,C14,0)+D14))</f>
        <v>0</v>
      </c>
      <c r="F14" s="102">
        <f>IF(E14&lt;=1.05,1,0)</f>
        <v>1</v>
      </c>
      <c r="G14" s="90"/>
      <c r="H14" s="91">
        <f>F14+G14</f>
        <v>1</v>
      </c>
      <c r="I14" s="76">
        <v>13000</v>
      </c>
      <c r="J14" s="76">
        <v>573109.19999999995</v>
      </c>
      <c r="K14" s="76">
        <v>417078.9</v>
      </c>
      <c r="L14" s="76">
        <v>88955.1</v>
      </c>
      <c r="M14" s="76">
        <v>0</v>
      </c>
      <c r="N14" s="82">
        <f t="shared" si="15"/>
        <v>0.19381231811459398</v>
      </c>
      <c r="O14" s="102">
        <f>IF(N14&lt;=1,1,0)</f>
        <v>1</v>
      </c>
      <c r="P14" s="90"/>
      <c r="Q14" s="91">
        <f>O14+P14</f>
        <v>1</v>
      </c>
      <c r="R14" s="103">
        <v>15</v>
      </c>
      <c r="S14" s="76">
        <v>580889.30000000005</v>
      </c>
      <c r="T14" s="84">
        <v>186716.13699999999</v>
      </c>
      <c r="U14" s="82">
        <f>R14/(S14-T14)</f>
        <v>3.8054341106931213E-5</v>
      </c>
      <c r="V14" s="102">
        <f>IF(U14&lt;=0.15,1,0)</f>
        <v>1</v>
      </c>
      <c r="W14" s="90"/>
      <c r="X14" s="91">
        <f>V14+W14</f>
        <v>1</v>
      </c>
      <c r="Y14" s="76">
        <f>C14</f>
        <v>7780.2</v>
      </c>
      <c r="Z14" s="86"/>
      <c r="AA14" s="86">
        <v>14280.2</v>
      </c>
      <c r="AB14" s="86"/>
      <c r="AC14" s="86">
        <f t="shared" si="4"/>
        <v>573109.19999999995</v>
      </c>
      <c r="AD14" s="86">
        <f t="shared" si="4"/>
        <v>417078.9</v>
      </c>
      <c r="AE14" s="86">
        <f t="shared" si="4"/>
        <v>88955.1</v>
      </c>
      <c r="AF14" s="86">
        <f>AC14-AD14-AE14</f>
        <v>67075.199999999924</v>
      </c>
      <c r="AG14" s="86">
        <f>AF14*10%</f>
        <v>6707.5199999999932</v>
      </c>
      <c r="AH14" s="86">
        <f t="shared" si="6"/>
        <v>20987.719999999994</v>
      </c>
      <c r="AI14" s="104">
        <f>IF((Y14-IF(Z14&gt;0,Z14,0)-IF(AA14&gt;0,AA14,0)-IF(AB14&gt;0,AB14,0))/(AC14-AD14-AE14)&gt;0,(Y14-IF(Z14&gt;0,Z14,0)-IF(AA14&gt;0,AA14,0)-IF(AB14&gt;0,AB14,0))/(AC14-AD14-AE14),0)</f>
        <v>0</v>
      </c>
      <c r="AJ14" s="89">
        <f>IF(AI14&lt;=0.1,1.5,0)</f>
        <v>1.5</v>
      </c>
      <c r="AK14" s="90"/>
      <c r="AL14" s="91">
        <f>AJ14+AK14</f>
        <v>1.5</v>
      </c>
      <c r="AM14" s="92"/>
      <c r="AN14" s="90"/>
      <c r="AO14" s="104">
        <v>0.89600000000000002</v>
      </c>
      <c r="AP14" s="89">
        <f>IF(AO14&lt;=1.05,1,0)</f>
        <v>1</v>
      </c>
      <c r="AQ14" s="90"/>
      <c r="AR14" s="107">
        <f>AP14+AQ14</f>
        <v>1</v>
      </c>
      <c r="AS14" s="92"/>
      <c r="AT14" s="90"/>
      <c r="AU14" s="104">
        <v>0.91</v>
      </c>
      <c r="AV14" s="89">
        <f>IF(AU14&lt;=1.05,1,0)</f>
        <v>1</v>
      </c>
      <c r="AW14" s="90"/>
      <c r="AX14" s="107">
        <f>AV14+AW14</f>
        <v>1</v>
      </c>
      <c r="AY14" s="95"/>
      <c r="AZ14" s="96"/>
      <c r="BA14" s="89">
        <f>AZ14</f>
        <v>0</v>
      </c>
      <c r="BB14" s="125">
        <f t="shared" si="24"/>
        <v>6.5</v>
      </c>
      <c r="BC14" s="126">
        <v>963426.17</v>
      </c>
      <c r="BD14" s="108">
        <v>27677.721000000001</v>
      </c>
      <c r="BF14" s="109">
        <f t="shared" si="11"/>
        <v>0.82640682138747412</v>
      </c>
      <c r="BG14" s="8">
        <f>IF(($BF14&lt;=10%),1,0)</f>
        <v>0</v>
      </c>
      <c r="BH14" s="110">
        <f>IF(AND(BF14&gt;10%,BF14&lt;30%),1,0)</f>
        <v>0</v>
      </c>
      <c r="BI14" s="110">
        <f>IF(AND(BF14&gt;30%,BF14&lt;70%),1,0)</f>
        <v>0</v>
      </c>
      <c r="BJ14" s="110">
        <f>IF(AND(BF14&gt;70%,BF14&lt;90%),1,0)</f>
        <v>1</v>
      </c>
      <c r="BK14" s="8">
        <f>IF(($BF14&gt;=90%),1,0)</f>
        <v>0</v>
      </c>
      <c r="BM14" s="109">
        <f t="shared" si="12"/>
        <v>0.30185019393062973</v>
      </c>
      <c r="BN14" s="8">
        <f>IF(($BM14&lt;=4.9%),1,0)</f>
        <v>0</v>
      </c>
      <c r="BO14" s="110">
        <f>IF(AND(BM14&gt;5%,BM14&lt;19.9%),1,0)</f>
        <v>0</v>
      </c>
      <c r="BP14" s="110">
        <f>IF(AND(BM14&gt;20%,BM14&lt;49.9%),1,0)</f>
        <v>1</v>
      </c>
      <c r="BQ14" s="110">
        <f>IF(AND(BM14&gt;50%,BM14&lt;89.9%),1,0)</f>
        <v>0</v>
      </c>
      <c r="BR14" s="8">
        <f>IF((BM14&gt;=90%),1,0)</f>
        <v>0</v>
      </c>
      <c r="BS14" s="109">
        <f t="shared" si="35"/>
        <v>1.681051656473147</v>
      </c>
    </row>
    <row r="15" spans="1:71" s="8" customFormat="1" ht="13" x14ac:dyDescent="0.3">
      <c r="A15" s="105" t="s">
        <v>82</v>
      </c>
      <c r="B15" s="76">
        <v>0</v>
      </c>
      <c r="C15" s="76">
        <v>62130.400000000001</v>
      </c>
      <c r="D15" s="76">
        <v>0</v>
      </c>
      <c r="E15" s="82">
        <f>IF(AND(B15=0,D15=0),0,B15/(IF(C15&gt;0,C15,0)+D15))</f>
        <v>0</v>
      </c>
      <c r="F15" s="102">
        <f>IF(E15&lt;=1.05,1,0)</f>
        <v>1</v>
      </c>
      <c r="G15" s="90"/>
      <c r="H15" s="91">
        <f>F15+G15</f>
        <v>1</v>
      </c>
      <c r="I15" s="76">
        <v>0</v>
      </c>
      <c r="J15" s="76">
        <v>661705.5</v>
      </c>
      <c r="K15" s="76">
        <v>476053.6</v>
      </c>
      <c r="L15" s="76">
        <v>118462.8</v>
      </c>
      <c r="M15" s="76">
        <v>0</v>
      </c>
      <c r="N15" s="82">
        <f>(I15)/(J15-K15-L15)</f>
        <v>0</v>
      </c>
      <c r="O15" s="102">
        <f>IF(N15&lt;=1,1,0)</f>
        <v>1</v>
      </c>
      <c r="P15" s="90"/>
      <c r="Q15" s="91">
        <f>O15+P15</f>
        <v>1</v>
      </c>
      <c r="R15" s="103">
        <v>0</v>
      </c>
      <c r="S15" s="76">
        <v>723835.8</v>
      </c>
      <c r="T15" s="84">
        <v>240979.07</v>
      </c>
      <c r="U15" s="82">
        <f>R15/(S15-T15)</f>
        <v>0</v>
      </c>
      <c r="V15" s="102">
        <f>IF(U15&lt;=0.15,1,0)</f>
        <v>1</v>
      </c>
      <c r="W15" s="90"/>
      <c r="X15" s="91">
        <f>V15+W15</f>
        <v>1</v>
      </c>
      <c r="Y15" s="76">
        <f>C15</f>
        <v>62130.400000000001</v>
      </c>
      <c r="Z15" s="86"/>
      <c r="AA15" s="86">
        <v>62130.400000000001</v>
      </c>
      <c r="AB15" s="86"/>
      <c r="AC15" s="86">
        <f t="shared" si="4"/>
        <v>661705.5</v>
      </c>
      <c r="AD15" s="86">
        <f t="shared" si="4"/>
        <v>476053.6</v>
      </c>
      <c r="AE15" s="86">
        <f t="shared" si="4"/>
        <v>118462.8</v>
      </c>
      <c r="AF15" s="86">
        <f>AC15-AD15-AE15</f>
        <v>67189.10000000002</v>
      </c>
      <c r="AG15" s="86">
        <f>AF15*10%</f>
        <v>6718.9100000000026</v>
      </c>
      <c r="AH15" s="86">
        <f t="shared" si="6"/>
        <v>68849.31</v>
      </c>
      <c r="AI15" s="104">
        <f>IF((Y15-IF(Z15&gt;0,Z15,0)-IF(AA15&gt;0,AA15,0)-IF(AB15&gt;0,AB15,0))/(AC15-AD15-AE15)&gt;0,(Y15-IF(Z15&gt;0,Z15,0)-IF(AA15&gt;0,AA15,0)-IF(AB15&gt;0,AB15,0))/(AC15-AD15-AE15),0)</f>
        <v>0</v>
      </c>
      <c r="AJ15" s="89">
        <f>IF(AI15&lt;=0.1,1.5,0)</f>
        <v>1.5</v>
      </c>
      <c r="AK15" s="90"/>
      <c r="AL15" s="91">
        <f>AJ15+AK15</f>
        <v>1.5</v>
      </c>
      <c r="AM15" s="92"/>
      <c r="AN15" s="90"/>
      <c r="AO15" s="104">
        <v>0.96799999999999997</v>
      </c>
      <c r="AP15" s="89">
        <f>IF(AO15&lt;=1.05,1,0)</f>
        <v>1</v>
      </c>
      <c r="AQ15" s="90"/>
      <c r="AR15" s="107">
        <f>AP15+AQ15</f>
        <v>1</v>
      </c>
      <c r="AS15" s="92"/>
      <c r="AT15" s="90"/>
      <c r="AU15" s="104">
        <v>1</v>
      </c>
      <c r="AV15" s="89">
        <f>IF(AU15&lt;=1.05,1,0)</f>
        <v>1</v>
      </c>
      <c r="AW15" s="90"/>
      <c r="AX15" s="107">
        <f>AV15+AW15</f>
        <v>1</v>
      </c>
      <c r="AY15" s="95"/>
      <c r="AZ15" s="96"/>
      <c r="BA15" s="89">
        <f>AZ15</f>
        <v>0</v>
      </c>
      <c r="BB15" s="125">
        <f t="shared" si="24"/>
        <v>6.5</v>
      </c>
      <c r="BC15" s="126">
        <v>549905.17000000004</v>
      </c>
      <c r="BD15" s="108">
        <v>41296.51</v>
      </c>
      <c r="BF15" s="109">
        <f t="shared" si="11"/>
        <v>0.8403021649959096</v>
      </c>
      <c r="BG15" s="8">
        <f t="shared" si="25"/>
        <v>0</v>
      </c>
      <c r="BH15" s="110">
        <f t="shared" si="26"/>
        <v>0</v>
      </c>
      <c r="BI15" s="110">
        <f t="shared" si="27"/>
        <v>0</v>
      </c>
      <c r="BJ15" s="110">
        <f t="shared" si="28"/>
        <v>1</v>
      </c>
      <c r="BK15" s="8">
        <f t="shared" si="29"/>
        <v>0</v>
      </c>
      <c r="BM15" s="109">
        <f t="shared" si="12"/>
        <v>0.37972254322125665</v>
      </c>
      <c r="BN15" s="8">
        <f t="shared" si="30"/>
        <v>0</v>
      </c>
      <c r="BO15" s="110">
        <f t="shared" si="31"/>
        <v>0</v>
      </c>
      <c r="BP15" s="110">
        <f t="shared" si="32"/>
        <v>1</v>
      </c>
      <c r="BQ15" s="110">
        <f t="shared" si="33"/>
        <v>0</v>
      </c>
      <c r="BR15" s="8">
        <f t="shared" si="34"/>
        <v>0</v>
      </c>
      <c r="BS15" s="109">
        <f t="shared" si="35"/>
        <v>0.83104216301662903</v>
      </c>
    </row>
    <row r="16" spans="1:71" s="8" customFormat="1" ht="13" x14ac:dyDescent="0.3">
      <c r="A16" s="105" t="s">
        <v>83</v>
      </c>
      <c r="B16" s="76">
        <v>0</v>
      </c>
      <c r="C16" s="76">
        <v>370043.6</v>
      </c>
      <c r="D16" s="76">
        <v>18333.3</v>
      </c>
      <c r="E16" s="82">
        <f t="shared" si="13"/>
        <v>0</v>
      </c>
      <c r="F16" s="102">
        <f t="shared" si="14"/>
        <v>1</v>
      </c>
      <c r="G16" s="90"/>
      <c r="H16" s="91">
        <f t="shared" si="0"/>
        <v>1</v>
      </c>
      <c r="I16" s="76">
        <v>36666.699999999997</v>
      </c>
      <c r="J16" s="76">
        <v>3132009.6</v>
      </c>
      <c r="K16" s="76">
        <v>2274303.7000000002</v>
      </c>
      <c r="L16" s="76">
        <v>381462.6</v>
      </c>
      <c r="M16" s="76">
        <v>0</v>
      </c>
      <c r="N16" s="82">
        <f t="shared" si="15"/>
        <v>7.6991529329651462E-2</v>
      </c>
      <c r="O16" s="102">
        <f t="shared" si="1"/>
        <v>1</v>
      </c>
      <c r="P16" s="90"/>
      <c r="Q16" s="91">
        <f t="shared" si="2"/>
        <v>1</v>
      </c>
      <c r="R16" s="103">
        <v>39.780830000000002</v>
      </c>
      <c r="S16" s="76">
        <v>3502053.2</v>
      </c>
      <c r="T16" s="84">
        <v>1163983.0449999999</v>
      </c>
      <c r="U16" s="82">
        <f t="shared" si="16"/>
        <v>1.7014386807396717E-5</v>
      </c>
      <c r="V16" s="102">
        <f t="shared" si="3"/>
        <v>1</v>
      </c>
      <c r="W16" s="90"/>
      <c r="X16" s="91">
        <f t="shared" si="17"/>
        <v>1</v>
      </c>
      <c r="Y16" s="76">
        <f t="shared" si="18"/>
        <v>370043.6</v>
      </c>
      <c r="Z16" s="86"/>
      <c r="AA16" s="86">
        <v>388377</v>
      </c>
      <c r="AB16" s="86"/>
      <c r="AC16" s="86">
        <f t="shared" si="4"/>
        <v>3132009.6</v>
      </c>
      <c r="AD16" s="86">
        <f t="shared" si="4"/>
        <v>2274303.7000000002</v>
      </c>
      <c r="AE16" s="86">
        <f t="shared" si="4"/>
        <v>381462.6</v>
      </c>
      <c r="AF16" s="86">
        <f t="shared" si="19"/>
        <v>476243.29999999993</v>
      </c>
      <c r="AG16" s="86">
        <f t="shared" si="5"/>
        <v>47624.329999999994</v>
      </c>
      <c r="AH16" s="86">
        <f t="shared" si="6"/>
        <v>436001.33</v>
      </c>
      <c r="AI16" s="104">
        <f t="shared" si="7"/>
        <v>0</v>
      </c>
      <c r="AJ16" s="89">
        <f t="shared" si="20"/>
        <v>1.5</v>
      </c>
      <c r="AK16" s="90"/>
      <c r="AL16" s="91">
        <f t="shared" si="8"/>
        <v>1.5</v>
      </c>
      <c r="AM16" s="92"/>
      <c r="AN16" s="90"/>
      <c r="AO16" s="104">
        <v>0.91700000000000004</v>
      </c>
      <c r="AP16" s="89">
        <f t="shared" ref="AP16:AP22" si="36">IF(AO16&lt;=1.05,1,0)</f>
        <v>1</v>
      </c>
      <c r="AQ16" s="90"/>
      <c r="AR16" s="107">
        <f t="shared" ref="AR16:AR40" si="37">AP16+AQ16</f>
        <v>1</v>
      </c>
      <c r="AS16" s="92"/>
      <c r="AT16" s="90"/>
      <c r="AU16" s="104">
        <v>0.90100000000000002</v>
      </c>
      <c r="AV16" s="89">
        <f t="shared" ref="AV16:AV22" si="38">IF(AU16&lt;=1.05,1,0)</f>
        <v>1</v>
      </c>
      <c r="AW16" s="90"/>
      <c r="AX16" s="107">
        <f t="shared" ref="AX16:AX40" si="39">AV16+AW16</f>
        <v>1</v>
      </c>
      <c r="AY16" s="95"/>
      <c r="AZ16" s="96"/>
      <c r="BA16" s="89">
        <f t="shared" si="23"/>
        <v>0</v>
      </c>
      <c r="BB16" s="125">
        <f t="shared" si="24"/>
        <v>6.5</v>
      </c>
      <c r="BC16" s="126">
        <v>3574750.79</v>
      </c>
      <c r="BD16" s="108">
        <v>28012.954000000002</v>
      </c>
      <c r="BF16" s="109">
        <f t="shared" si="11"/>
        <v>0.75800971852231958</v>
      </c>
      <c r="BG16" s="8">
        <f t="shared" si="25"/>
        <v>0</v>
      </c>
      <c r="BH16" s="110">
        <f t="shared" si="26"/>
        <v>0</v>
      </c>
      <c r="BI16" s="110">
        <f t="shared" si="27"/>
        <v>0</v>
      </c>
      <c r="BJ16" s="110">
        <f t="shared" si="28"/>
        <v>1</v>
      </c>
      <c r="BK16" s="8">
        <f t="shared" si="29"/>
        <v>0</v>
      </c>
      <c r="BM16" s="109">
        <f t="shared" si="12"/>
        <v>0.20806403905459495</v>
      </c>
      <c r="BN16" s="8">
        <f t="shared" si="30"/>
        <v>0</v>
      </c>
      <c r="BO16" s="110">
        <f t="shared" si="31"/>
        <v>0</v>
      </c>
      <c r="BP16" s="110">
        <f t="shared" si="32"/>
        <v>1</v>
      </c>
      <c r="BQ16" s="110">
        <f t="shared" si="33"/>
        <v>0</v>
      </c>
      <c r="BR16" s="8">
        <f t="shared" si="34"/>
        <v>0</v>
      </c>
      <c r="BS16" s="109">
        <f t="shared" si="35"/>
        <v>1.1413600999179567</v>
      </c>
    </row>
    <row r="17" spans="1:71" s="8" customFormat="1" ht="13" x14ac:dyDescent="0.3">
      <c r="A17" s="105" t="s">
        <v>84</v>
      </c>
      <c r="B17" s="76">
        <v>0</v>
      </c>
      <c r="C17" s="76">
        <v>30691.5</v>
      </c>
      <c r="D17" s="76">
        <v>0</v>
      </c>
      <c r="E17" s="82">
        <f t="shared" si="13"/>
        <v>0</v>
      </c>
      <c r="F17" s="102">
        <f t="shared" si="14"/>
        <v>1</v>
      </c>
      <c r="G17" s="90"/>
      <c r="H17" s="91">
        <f t="shared" si="0"/>
        <v>1</v>
      </c>
      <c r="I17" s="76">
        <v>0</v>
      </c>
      <c r="J17" s="76">
        <v>745290</v>
      </c>
      <c r="K17" s="76">
        <v>490427</v>
      </c>
      <c r="L17" s="76">
        <v>85325.1</v>
      </c>
      <c r="M17" s="76">
        <v>0</v>
      </c>
      <c r="N17" s="82">
        <f t="shared" si="15"/>
        <v>0</v>
      </c>
      <c r="O17" s="102">
        <f>IF(N17&lt;=1,1,0)</f>
        <v>1</v>
      </c>
      <c r="P17" s="90"/>
      <c r="Q17" s="91">
        <f t="shared" si="2"/>
        <v>1</v>
      </c>
      <c r="R17" s="103">
        <v>0</v>
      </c>
      <c r="S17" s="76">
        <v>781476.9</v>
      </c>
      <c r="T17" s="84">
        <v>283236.96500000003</v>
      </c>
      <c r="U17" s="82">
        <f t="shared" si="16"/>
        <v>0</v>
      </c>
      <c r="V17" s="102">
        <f>IF(U17&lt;=0.15,1,0)</f>
        <v>1</v>
      </c>
      <c r="W17" s="90"/>
      <c r="X17" s="91">
        <f t="shared" si="17"/>
        <v>1</v>
      </c>
      <c r="Y17" s="76">
        <f t="shared" si="18"/>
        <v>30691.5</v>
      </c>
      <c r="Z17" s="86"/>
      <c r="AA17" s="86">
        <v>30691.5</v>
      </c>
      <c r="AB17" s="86"/>
      <c r="AC17" s="86">
        <f t="shared" si="4"/>
        <v>745290</v>
      </c>
      <c r="AD17" s="86">
        <f t="shared" si="4"/>
        <v>490427</v>
      </c>
      <c r="AE17" s="86">
        <f t="shared" si="4"/>
        <v>85325.1</v>
      </c>
      <c r="AF17" s="86">
        <f t="shared" si="19"/>
        <v>169537.9</v>
      </c>
      <c r="AG17" s="86">
        <f t="shared" si="5"/>
        <v>16953.79</v>
      </c>
      <c r="AH17" s="86">
        <f t="shared" si="6"/>
        <v>47645.29</v>
      </c>
      <c r="AI17" s="104">
        <f t="shared" si="7"/>
        <v>0</v>
      </c>
      <c r="AJ17" s="89">
        <f t="shared" si="20"/>
        <v>1.5</v>
      </c>
      <c r="AK17" s="90"/>
      <c r="AL17" s="91">
        <f t="shared" si="8"/>
        <v>1.5</v>
      </c>
      <c r="AM17" s="92"/>
      <c r="AN17" s="90"/>
      <c r="AO17" s="104">
        <v>0.9</v>
      </c>
      <c r="AP17" s="89">
        <f t="shared" si="36"/>
        <v>1</v>
      </c>
      <c r="AQ17" s="90"/>
      <c r="AR17" s="107">
        <f t="shared" si="37"/>
        <v>1</v>
      </c>
      <c r="AS17" s="92"/>
      <c r="AT17" s="90"/>
      <c r="AU17" s="104">
        <v>0.89400000000000002</v>
      </c>
      <c r="AV17" s="89">
        <f t="shared" si="38"/>
        <v>1</v>
      </c>
      <c r="AW17" s="90"/>
      <c r="AX17" s="107">
        <f t="shared" si="39"/>
        <v>1</v>
      </c>
      <c r="AY17" s="95"/>
      <c r="AZ17" s="96"/>
      <c r="BA17" s="89">
        <f t="shared" si="23"/>
        <v>0</v>
      </c>
      <c r="BB17" s="125">
        <f t="shared" si="24"/>
        <v>6.5</v>
      </c>
      <c r="BC17" s="126">
        <v>590694.81000000006</v>
      </c>
      <c r="BD17" s="108">
        <v>16814.179</v>
      </c>
      <c r="BF17" s="109">
        <f t="shared" si="11"/>
        <v>0.63307696918385126</v>
      </c>
      <c r="BG17" s="8">
        <f t="shared" si="25"/>
        <v>0</v>
      </c>
      <c r="BH17" s="110">
        <f t="shared" si="26"/>
        <v>0</v>
      </c>
      <c r="BI17" s="110">
        <f t="shared" si="27"/>
        <v>1</v>
      </c>
      <c r="BJ17" s="110">
        <f t="shared" si="28"/>
        <v>0</v>
      </c>
      <c r="BK17" s="8">
        <f t="shared" si="29"/>
        <v>0</v>
      </c>
      <c r="BM17" s="109">
        <f t="shared" si="12"/>
        <v>0.2210553145701121</v>
      </c>
      <c r="BN17" s="8">
        <f t="shared" si="30"/>
        <v>0</v>
      </c>
      <c r="BO17" s="110">
        <f t="shared" si="31"/>
        <v>0</v>
      </c>
      <c r="BP17" s="110">
        <f t="shared" si="32"/>
        <v>1</v>
      </c>
      <c r="BQ17" s="110">
        <f t="shared" si="33"/>
        <v>0</v>
      </c>
      <c r="BR17" s="8">
        <f t="shared" si="34"/>
        <v>0</v>
      </c>
      <c r="BS17" s="109">
        <f t="shared" si="35"/>
        <v>0.79257042225174101</v>
      </c>
    </row>
    <row r="18" spans="1:71" s="8" customFormat="1" ht="13" x14ac:dyDescent="0.3">
      <c r="A18" s="105" t="s">
        <v>85</v>
      </c>
      <c r="B18" s="76">
        <v>0</v>
      </c>
      <c r="C18" s="76">
        <v>9650.1</v>
      </c>
      <c r="D18" s="76">
        <v>0</v>
      </c>
      <c r="E18" s="82">
        <f t="shared" si="13"/>
        <v>0</v>
      </c>
      <c r="F18" s="102"/>
      <c r="G18" s="90">
        <f>IF(E18&lt;=1.05,1,0)</f>
        <v>1</v>
      </c>
      <c r="H18" s="91">
        <f t="shared" si="0"/>
        <v>1</v>
      </c>
      <c r="I18" s="76">
        <v>0</v>
      </c>
      <c r="J18" s="76">
        <v>334121.09999999998</v>
      </c>
      <c r="K18" s="76">
        <v>265327.59999999998</v>
      </c>
      <c r="L18" s="76">
        <v>38355.9</v>
      </c>
      <c r="M18" s="76">
        <v>0</v>
      </c>
      <c r="N18" s="82">
        <f t="shared" si="15"/>
        <v>0</v>
      </c>
      <c r="O18" s="102"/>
      <c r="P18" s="90">
        <f>IF(N18&lt;=0.5,1,0)</f>
        <v>1</v>
      </c>
      <c r="Q18" s="91">
        <f t="shared" si="2"/>
        <v>1</v>
      </c>
      <c r="R18" s="103">
        <v>0</v>
      </c>
      <c r="S18" s="76">
        <v>343771.3</v>
      </c>
      <c r="T18" s="84">
        <v>155035.943</v>
      </c>
      <c r="U18" s="82">
        <f t="shared" si="16"/>
        <v>0</v>
      </c>
      <c r="V18" s="102"/>
      <c r="W18" s="90">
        <f>IF(U18&lt;=0.15,1,0)</f>
        <v>1</v>
      </c>
      <c r="X18" s="91">
        <f t="shared" si="17"/>
        <v>1</v>
      </c>
      <c r="Y18" s="76">
        <f t="shared" si="18"/>
        <v>9650.1</v>
      </c>
      <c r="Z18" s="86"/>
      <c r="AA18" s="86">
        <v>9650.1</v>
      </c>
      <c r="AB18" s="86"/>
      <c r="AC18" s="86">
        <f t="shared" si="4"/>
        <v>334121.09999999998</v>
      </c>
      <c r="AD18" s="86">
        <f t="shared" si="4"/>
        <v>265327.59999999998</v>
      </c>
      <c r="AE18" s="86">
        <f t="shared" si="4"/>
        <v>38355.9</v>
      </c>
      <c r="AF18" s="86">
        <f t="shared" si="19"/>
        <v>30437.599999999999</v>
      </c>
      <c r="AG18" s="86">
        <f t="shared" si="5"/>
        <v>3043.76</v>
      </c>
      <c r="AH18" s="86">
        <f t="shared" si="6"/>
        <v>12693.86</v>
      </c>
      <c r="AI18" s="104">
        <f t="shared" si="7"/>
        <v>0</v>
      </c>
      <c r="AJ18" s="89"/>
      <c r="AK18" s="106">
        <f>IF(AI18&lt;=0.05,1.5,0)</f>
        <v>1.5</v>
      </c>
      <c r="AL18" s="91">
        <f t="shared" si="8"/>
        <v>1.5</v>
      </c>
      <c r="AM18" s="92"/>
      <c r="AN18" s="90"/>
      <c r="AO18" s="104">
        <v>0.74099999999999999</v>
      </c>
      <c r="AP18" s="89"/>
      <c r="AQ18" s="106">
        <f>IF(AO18&lt;=1.05,1,0)</f>
        <v>1</v>
      </c>
      <c r="AR18" s="107">
        <f t="shared" si="37"/>
        <v>1</v>
      </c>
      <c r="AS18" s="92"/>
      <c r="AT18" s="90"/>
      <c r="AU18" s="104">
        <v>0.69099999999999995</v>
      </c>
      <c r="AV18" s="89"/>
      <c r="AW18" s="106">
        <f>IF(AU18&lt;=1.05,1,0)</f>
        <v>1</v>
      </c>
      <c r="AX18" s="107">
        <f t="shared" si="39"/>
        <v>1</v>
      </c>
      <c r="AY18" s="95"/>
      <c r="AZ18" s="96"/>
      <c r="BA18" s="89">
        <f t="shared" si="23"/>
        <v>0</v>
      </c>
      <c r="BB18" s="125">
        <f t="shared" si="24"/>
        <v>6.5</v>
      </c>
      <c r="BC18" s="126">
        <v>245880.27</v>
      </c>
      <c r="BD18" s="108">
        <v>35456.451999999997</v>
      </c>
      <c r="BF18" s="109">
        <f t="shared" si="11"/>
        <v>0.83003839899473086</v>
      </c>
      <c r="BG18" s="8">
        <f t="shared" si="25"/>
        <v>0</v>
      </c>
      <c r="BH18" s="110">
        <f t="shared" si="26"/>
        <v>0</v>
      </c>
      <c r="BI18" s="110">
        <f t="shared" si="27"/>
        <v>0</v>
      </c>
      <c r="BJ18" s="110">
        <f t="shared" si="28"/>
        <v>1</v>
      </c>
      <c r="BK18" s="8">
        <f t="shared" si="29"/>
        <v>0</v>
      </c>
      <c r="BM18" s="109">
        <f t="shared" si="12"/>
        <v>0.41216342681040846</v>
      </c>
      <c r="BN18" s="8">
        <f t="shared" si="30"/>
        <v>0</v>
      </c>
      <c r="BO18" s="110">
        <f t="shared" si="31"/>
        <v>0</v>
      </c>
      <c r="BP18" s="110">
        <f t="shared" si="32"/>
        <v>1</v>
      </c>
      <c r="BQ18" s="110">
        <f t="shared" si="33"/>
        <v>0</v>
      </c>
      <c r="BR18" s="8">
        <f t="shared" si="34"/>
        <v>0</v>
      </c>
      <c r="BS18" s="109">
        <f t="shared" si="35"/>
        <v>0.73590165362199511</v>
      </c>
    </row>
    <row r="19" spans="1:71" s="8" customFormat="1" ht="13" x14ac:dyDescent="0.3">
      <c r="A19" s="105" t="s">
        <v>86</v>
      </c>
      <c r="B19" s="76">
        <v>0</v>
      </c>
      <c r="C19" s="76">
        <v>8135.5</v>
      </c>
      <c r="D19" s="76">
        <v>0</v>
      </c>
      <c r="E19" s="82">
        <f t="shared" si="13"/>
        <v>0</v>
      </c>
      <c r="F19" s="102">
        <f>IF(E19&lt;=1.05,1,0)</f>
        <v>1</v>
      </c>
      <c r="G19" s="90"/>
      <c r="H19" s="91">
        <f t="shared" si="0"/>
        <v>1</v>
      </c>
      <c r="I19" s="76">
        <v>0</v>
      </c>
      <c r="J19" s="76">
        <v>646480.19999999995</v>
      </c>
      <c r="K19" s="76">
        <v>471483.7</v>
      </c>
      <c r="L19" s="76">
        <v>117436.1</v>
      </c>
      <c r="M19" s="76">
        <v>0</v>
      </c>
      <c r="N19" s="82">
        <f>(I19)/(J19-K19-L19)</f>
        <v>0</v>
      </c>
      <c r="O19" s="102">
        <f>IF(N19&lt;=1,1,0)</f>
        <v>1</v>
      </c>
      <c r="P19" s="90"/>
      <c r="Q19" s="91">
        <f t="shared" si="2"/>
        <v>1</v>
      </c>
      <c r="R19" s="103">
        <v>0</v>
      </c>
      <c r="S19" s="76">
        <v>654615.69999999995</v>
      </c>
      <c r="T19" s="84">
        <v>263848.50599999999</v>
      </c>
      <c r="U19" s="82">
        <f t="shared" si="16"/>
        <v>0</v>
      </c>
      <c r="V19" s="102">
        <f>IF(U19&lt;=0.15,1,0)</f>
        <v>1</v>
      </c>
      <c r="W19" s="90"/>
      <c r="X19" s="91">
        <f t="shared" si="17"/>
        <v>1</v>
      </c>
      <c r="Y19" s="76">
        <f t="shared" si="18"/>
        <v>8135.5</v>
      </c>
      <c r="Z19" s="86"/>
      <c r="AA19" s="86">
        <v>8135.5</v>
      </c>
      <c r="AB19" s="86"/>
      <c r="AC19" s="86">
        <f t="shared" si="4"/>
        <v>646480.19999999995</v>
      </c>
      <c r="AD19" s="86">
        <f t="shared" si="4"/>
        <v>471483.7</v>
      </c>
      <c r="AE19" s="86">
        <f t="shared" si="4"/>
        <v>117436.1</v>
      </c>
      <c r="AF19" s="86">
        <f t="shared" si="19"/>
        <v>57560.399999999936</v>
      </c>
      <c r="AG19" s="86">
        <f t="shared" si="5"/>
        <v>5756.0399999999936</v>
      </c>
      <c r="AH19" s="86">
        <f t="shared" si="6"/>
        <v>13891.539999999994</v>
      </c>
      <c r="AI19" s="104">
        <f t="shared" si="7"/>
        <v>0</v>
      </c>
      <c r="AJ19" s="89">
        <f>IF(AI19&lt;=0.1,1.5,0)</f>
        <v>1.5</v>
      </c>
      <c r="AK19" s="90"/>
      <c r="AL19" s="91">
        <f t="shared" si="8"/>
        <v>1.5</v>
      </c>
      <c r="AM19" s="92"/>
      <c r="AN19" s="90"/>
      <c r="AO19" s="104">
        <v>0.92200000000000004</v>
      </c>
      <c r="AP19" s="89">
        <f>IF(AO19&lt;=1.05,1,0)</f>
        <v>1</v>
      </c>
      <c r="AQ19" s="90"/>
      <c r="AR19" s="107">
        <f t="shared" si="37"/>
        <v>1</v>
      </c>
      <c r="AS19" s="92"/>
      <c r="AT19" s="90"/>
      <c r="AU19" s="104">
        <v>0.92800000000000005</v>
      </c>
      <c r="AV19" s="89">
        <f>IF(AU19&lt;=1.05,1,0)</f>
        <v>1</v>
      </c>
      <c r="AW19" s="90"/>
      <c r="AX19" s="107">
        <f t="shared" si="39"/>
        <v>1</v>
      </c>
      <c r="AY19" s="95"/>
      <c r="AZ19" s="96"/>
      <c r="BA19" s="89">
        <f t="shared" si="23"/>
        <v>0</v>
      </c>
      <c r="BB19" s="125">
        <f t="shared" si="24"/>
        <v>6.5</v>
      </c>
      <c r="BC19" s="126">
        <v>405776.39</v>
      </c>
      <c r="BD19" s="108">
        <v>26765.723999999998</v>
      </c>
      <c r="BF19" s="109">
        <f t="shared" si="11"/>
        <v>0.84956708787432567</v>
      </c>
      <c r="BG19" s="8">
        <f t="shared" si="25"/>
        <v>0</v>
      </c>
      <c r="BH19" s="110">
        <f t="shared" si="26"/>
        <v>0</v>
      </c>
      <c r="BI19" s="110">
        <f t="shared" si="27"/>
        <v>0</v>
      </c>
      <c r="BJ19" s="110">
        <f t="shared" si="28"/>
        <v>1</v>
      </c>
      <c r="BK19" s="8">
        <f t="shared" si="29"/>
        <v>0</v>
      </c>
      <c r="BM19" s="109">
        <f t="shared" si="12"/>
        <v>0.37686847760185804</v>
      </c>
      <c r="BN19" s="8">
        <f t="shared" si="30"/>
        <v>0</v>
      </c>
      <c r="BO19" s="110">
        <f t="shared" si="31"/>
        <v>0</v>
      </c>
      <c r="BP19" s="110">
        <f t="shared" si="32"/>
        <v>1</v>
      </c>
      <c r="BQ19" s="110">
        <f t="shared" si="33"/>
        <v>0</v>
      </c>
      <c r="BR19" s="8">
        <f t="shared" si="34"/>
        <v>0</v>
      </c>
      <c r="BS19" s="109">
        <f t="shared" si="35"/>
        <v>0.62767025192728265</v>
      </c>
    </row>
    <row r="20" spans="1:71" s="8" customFormat="1" ht="13" x14ac:dyDescent="0.3">
      <c r="A20" s="105" t="s">
        <v>87</v>
      </c>
      <c r="B20" s="76">
        <v>0</v>
      </c>
      <c r="C20" s="76">
        <v>42521.5</v>
      </c>
      <c r="D20" s="76">
        <v>8000</v>
      </c>
      <c r="E20" s="82">
        <f t="shared" si="13"/>
        <v>0</v>
      </c>
      <c r="F20" s="102"/>
      <c r="G20" s="90">
        <f>IF(E20&lt;=1.05,1,0)</f>
        <v>1</v>
      </c>
      <c r="H20" s="91">
        <f t="shared" si="0"/>
        <v>1</v>
      </c>
      <c r="I20" s="76">
        <v>16000</v>
      </c>
      <c r="J20" s="76">
        <v>1607982.1</v>
      </c>
      <c r="K20" s="76">
        <v>1119815.8999999999</v>
      </c>
      <c r="L20" s="76">
        <v>382572.7</v>
      </c>
      <c r="M20" s="76">
        <v>0</v>
      </c>
      <c r="N20" s="82">
        <f t="shared" si="15"/>
        <v>0.15152447830595608</v>
      </c>
      <c r="O20" s="102"/>
      <c r="P20" s="90">
        <f>IF(N20&lt;=0.5,1,0)</f>
        <v>1</v>
      </c>
      <c r="Q20" s="91">
        <f t="shared" si="2"/>
        <v>1</v>
      </c>
      <c r="R20" s="103">
        <v>17.205480000000001</v>
      </c>
      <c r="S20" s="76">
        <v>1650503.6</v>
      </c>
      <c r="T20" s="84">
        <v>765067.78899999999</v>
      </c>
      <c r="U20" s="82">
        <f t="shared" si="16"/>
        <v>1.94316513814461E-5</v>
      </c>
      <c r="V20" s="102"/>
      <c r="W20" s="90">
        <f>IF(U20&lt;=0.15,1,0)</f>
        <v>1</v>
      </c>
      <c r="X20" s="91">
        <f t="shared" si="17"/>
        <v>1</v>
      </c>
      <c r="Y20" s="76">
        <f t="shared" si="18"/>
        <v>42521.5</v>
      </c>
      <c r="Z20" s="86"/>
      <c r="AA20" s="86">
        <v>50521.5</v>
      </c>
      <c r="AB20" s="86"/>
      <c r="AC20" s="86">
        <f t="shared" si="4"/>
        <v>1607982.1</v>
      </c>
      <c r="AD20" s="86">
        <f t="shared" si="4"/>
        <v>1119815.8999999999</v>
      </c>
      <c r="AE20" s="86">
        <f t="shared" si="4"/>
        <v>382572.7</v>
      </c>
      <c r="AF20" s="86">
        <f t="shared" si="19"/>
        <v>105593.50000000017</v>
      </c>
      <c r="AG20" s="86">
        <f t="shared" si="5"/>
        <v>10559.350000000019</v>
      </c>
      <c r="AH20" s="86">
        <f t="shared" si="6"/>
        <v>61080.85000000002</v>
      </c>
      <c r="AI20" s="104">
        <f t="shared" si="7"/>
        <v>0</v>
      </c>
      <c r="AJ20" s="89"/>
      <c r="AK20" s="106">
        <f>IF(AI20&lt;=0.05,1.5,0)</f>
        <v>1.5</v>
      </c>
      <c r="AL20" s="91">
        <f t="shared" si="8"/>
        <v>1.5</v>
      </c>
      <c r="AM20" s="92"/>
      <c r="AN20" s="90"/>
      <c r="AO20" s="104">
        <v>0.93799999999999994</v>
      </c>
      <c r="AP20" s="89"/>
      <c r="AQ20" s="106">
        <f>IF(AO20&lt;=1.05,1,0)</f>
        <v>1</v>
      </c>
      <c r="AR20" s="107">
        <f t="shared" si="37"/>
        <v>1</v>
      </c>
      <c r="AS20" s="92"/>
      <c r="AT20" s="90"/>
      <c r="AU20" s="104">
        <v>0.78600000000000003</v>
      </c>
      <c r="AV20" s="89"/>
      <c r="AW20" s="106">
        <f>IF(AU20&lt;=1.05,1,0)</f>
        <v>1</v>
      </c>
      <c r="AX20" s="107">
        <f t="shared" si="39"/>
        <v>1</v>
      </c>
      <c r="AY20" s="95"/>
      <c r="AZ20" s="96"/>
      <c r="BA20" s="89">
        <f t="shared" si="23"/>
        <v>0</v>
      </c>
      <c r="BB20" s="125">
        <f t="shared" si="24"/>
        <v>6.5</v>
      </c>
      <c r="BC20" s="126">
        <v>1352762.16</v>
      </c>
      <c r="BD20" s="108">
        <v>83056.724000000002</v>
      </c>
      <c r="BF20" s="109">
        <f t="shared" si="11"/>
        <v>0.87472807304134115</v>
      </c>
      <c r="BG20" s="8">
        <f>IF(($BF20&lt;=10%),1,0)</f>
        <v>0</v>
      </c>
      <c r="BH20" s="110">
        <f>IF(AND(BF20&gt;10%,BF20&lt;30%),1,0)</f>
        <v>0</v>
      </c>
      <c r="BI20" s="110">
        <f>IF(AND(BF20&gt;30%,BF20&lt;70%),1,0)</f>
        <v>0</v>
      </c>
      <c r="BJ20" s="110">
        <f>IF(AND(BF20&gt;70%,BF20&lt;90%),1,0)</f>
        <v>1</v>
      </c>
      <c r="BK20" s="8">
        <f>IF(($BF20&gt;=90%),1,0)</f>
        <v>0</v>
      </c>
      <c r="BM20" s="109">
        <f t="shared" si="12"/>
        <v>0.55240422178571835</v>
      </c>
      <c r="BN20" s="8">
        <f>IF(($BM20&lt;=4.9%),1,0)</f>
        <v>0</v>
      </c>
      <c r="BO20" s="110">
        <f>IF(AND(BM20&gt;5%,BM20&lt;19.9%),1,0)</f>
        <v>0</v>
      </c>
      <c r="BP20" s="110">
        <f>IF(AND(BM20&gt;20%,BM20&lt;49.9%),1,0)</f>
        <v>0</v>
      </c>
      <c r="BQ20" s="110">
        <f>IF(AND(BM20&gt;50%,BM20&lt;89.9%),1,0)</f>
        <v>1</v>
      </c>
      <c r="BR20" s="8">
        <f>IF((BM20&gt;=90%),1,0)</f>
        <v>0</v>
      </c>
      <c r="BS20" s="109">
        <f t="shared" si="35"/>
        <v>0.84127936498795597</v>
      </c>
    </row>
    <row r="21" spans="1:71" s="8" customFormat="1" ht="13" x14ac:dyDescent="0.3">
      <c r="A21" s="105" t="s">
        <v>88</v>
      </c>
      <c r="B21" s="76">
        <v>0</v>
      </c>
      <c r="C21" s="76">
        <v>12280.8</v>
      </c>
      <c r="D21" s="76">
        <v>0</v>
      </c>
      <c r="E21" s="82">
        <f t="shared" si="13"/>
        <v>0</v>
      </c>
      <c r="F21" s="102">
        <f>IF(E21&lt;=1.05,1,0)</f>
        <v>1</v>
      </c>
      <c r="G21" s="90"/>
      <c r="H21" s="91">
        <f t="shared" si="0"/>
        <v>1</v>
      </c>
      <c r="I21" s="76">
        <v>0</v>
      </c>
      <c r="J21" s="76">
        <v>382940.9</v>
      </c>
      <c r="K21" s="76">
        <v>294470.09999999998</v>
      </c>
      <c r="L21" s="76">
        <v>54811.8</v>
      </c>
      <c r="M21" s="76">
        <v>0</v>
      </c>
      <c r="N21" s="82">
        <f>(I21)/(J21-K21-L21)</f>
        <v>0</v>
      </c>
      <c r="O21" s="102">
        <f>IF(N21&lt;=1,1,0)</f>
        <v>1</v>
      </c>
      <c r="P21" s="90"/>
      <c r="Q21" s="91">
        <f t="shared" si="2"/>
        <v>1</v>
      </c>
      <c r="R21" s="103">
        <v>0</v>
      </c>
      <c r="S21" s="76">
        <v>395221.7</v>
      </c>
      <c r="T21" s="84">
        <v>137022.546</v>
      </c>
      <c r="U21" s="82">
        <f t="shared" si="16"/>
        <v>0</v>
      </c>
      <c r="V21" s="102">
        <f>IF(U21&lt;=0.15,1,0)</f>
        <v>1</v>
      </c>
      <c r="W21" s="90"/>
      <c r="X21" s="91">
        <f t="shared" si="17"/>
        <v>1</v>
      </c>
      <c r="Y21" s="76">
        <f t="shared" si="18"/>
        <v>12280.8</v>
      </c>
      <c r="Z21" s="86"/>
      <c r="AA21" s="86">
        <v>12280.8</v>
      </c>
      <c r="AB21" s="86"/>
      <c r="AC21" s="86">
        <f t="shared" si="4"/>
        <v>382940.9</v>
      </c>
      <c r="AD21" s="86">
        <f t="shared" si="4"/>
        <v>294470.09999999998</v>
      </c>
      <c r="AE21" s="86">
        <f t="shared" si="4"/>
        <v>54811.8</v>
      </c>
      <c r="AF21" s="86">
        <f t="shared" si="19"/>
        <v>33659.000000000044</v>
      </c>
      <c r="AG21" s="86">
        <f t="shared" si="5"/>
        <v>3365.9000000000046</v>
      </c>
      <c r="AH21" s="86">
        <f t="shared" si="6"/>
        <v>15646.700000000004</v>
      </c>
      <c r="AI21" s="104">
        <f t="shared" si="7"/>
        <v>0</v>
      </c>
      <c r="AJ21" s="89">
        <f>IF(AI21&lt;=0.1,1.5,0)</f>
        <v>1.5</v>
      </c>
      <c r="AK21" s="90"/>
      <c r="AL21" s="91">
        <f t="shared" si="8"/>
        <v>1.5</v>
      </c>
      <c r="AM21" s="92"/>
      <c r="AN21" s="90"/>
      <c r="AO21" s="104">
        <v>0.81699999999999995</v>
      </c>
      <c r="AP21" s="89">
        <f>IF(AO21&lt;=1.05,1,0)</f>
        <v>1</v>
      </c>
      <c r="AQ21" s="90"/>
      <c r="AR21" s="107">
        <f t="shared" si="37"/>
        <v>1</v>
      </c>
      <c r="AS21" s="92"/>
      <c r="AT21" s="90"/>
      <c r="AU21" s="104">
        <v>0.83799999999999997</v>
      </c>
      <c r="AV21" s="89">
        <f>IF(AU21&lt;=1.05,1,0)</f>
        <v>1</v>
      </c>
      <c r="AW21" s="90"/>
      <c r="AX21" s="107">
        <f t="shared" si="39"/>
        <v>1</v>
      </c>
      <c r="AY21" s="95"/>
      <c r="AZ21" s="96"/>
      <c r="BA21" s="89">
        <f t="shared" si="23"/>
        <v>0</v>
      </c>
      <c r="BB21" s="125">
        <f t="shared" si="24"/>
        <v>6.5</v>
      </c>
      <c r="BC21" s="126">
        <v>207700.29</v>
      </c>
      <c r="BD21" s="108">
        <v>10961.853999999999</v>
      </c>
      <c r="BF21" s="109">
        <f t="shared" si="11"/>
        <v>0.86312937016486346</v>
      </c>
      <c r="BG21" s="8">
        <f t="shared" si="25"/>
        <v>0</v>
      </c>
      <c r="BH21" s="110">
        <f t="shared" si="26"/>
        <v>0</v>
      </c>
      <c r="BI21" s="110">
        <f t="shared" si="27"/>
        <v>0</v>
      </c>
      <c r="BJ21" s="110">
        <f t="shared" si="28"/>
        <v>1</v>
      </c>
      <c r="BK21" s="8">
        <f t="shared" si="29"/>
        <v>0</v>
      </c>
      <c r="BM21" s="109">
        <f t="shared" si="12"/>
        <v>0.26746134613441663</v>
      </c>
      <c r="BN21" s="8">
        <f t="shared" si="30"/>
        <v>0</v>
      </c>
      <c r="BO21" s="110">
        <f t="shared" si="31"/>
        <v>0</v>
      </c>
      <c r="BP21" s="110">
        <f t="shared" si="32"/>
        <v>1</v>
      </c>
      <c r="BQ21" s="110">
        <f t="shared" si="33"/>
        <v>0</v>
      </c>
      <c r="BR21" s="8">
        <f t="shared" si="34"/>
        <v>0</v>
      </c>
      <c r="BS21" s="109">
        <f t="shared" si="35"/>
        <v>0.54238210125896713</v>
      </c>
    </row>
    <row r="22" spans="1:71" s="8" customFormat="1" ht="13" x14ac:dyDescent="0.3">
      <c r="A22" s="105" t="s">
        <v>89</v>
      </c>
      <c r="B22" s="76">
        <v>0</v>
      </c>
      <c r="C22" s="76">
        <v>54045.4</v>
      </c>
      <c r="D22" s="76">
        <v>0</v>
      </c>
      <c r="E22" s="82">
        <f t="shared" si="13"/>
        <v>0</v>
      </c>
      <c r="F22" s="102">
        <f>IF(E22&lt;=1.05,1,0)</f>
        <v>1</v>
      </c>
      <c r="G22" s="90"/>
      <c r="H22" s="91">
        <f t="shared" si="0"/>
        <v>1</v>
      </c>
      <c r="I22" s="76">
        <v>0</v>
      </c>
      <c r="J22" s="76">
        <v>1231654.8999999999</v>
      </c>
      <c r="K22" s="76">
        <v>859397.7</v>
      </c>
      <c r="L22" s="76">
        <v>181790.7</v>
      </c>
      <c r="M22" s="76">
        <v>0</v>
      </c>
      <c r="N22" s="82">
        <f t="shared" si="15"/>
        <v>0</v>
      </c>
      <c r="O22" s="102">
        <f>IF(N22&lt;=1,1,0)</f>
        <v>1</v>
      </c>
      <c r="P22" s="90"/>
      <c r="Q22" s="91">
        <f t="shared" si="2"/>
        <v>1</v>
      </c>
      <c r="R22" s="103">
        <v>0</v>
      </c>
      <c r="S22" s="76">
        <v>1285700.3</v>
      </c>
      <c r="T22" s="84">
        <v>468818.08100000001</v>
      </c>
      <c r="U22" s="82">
        <f t="shared" si="16"/>
        <v>0</v>
      </c>
      <c r="V22" s="102">
        <f>IF(U22&lt;=0.15,1,0)</f>
        <v>1</v>
      </c>
      <c r="W22" s="90"/>
      <c r="X22" s="91">
        <f t="shared" si="17"/>
        <v>1</v>
      </c>
      <c r="Y22" s="76">
        <f t="shared" si="18"/>
        <v>54045.4</v>
      </c>
      <c r="Z22" s="86"/>
      <c r="AA22" s="86">
        <v>54045.4</v>
      </c>
      <c r="AB22" s="86"/>
      <c r="AC22" s="86">
        <f t="shared" si="4"/>
        <v>1231654.8999999999</v>
      </c>
      <c r="AD22" s="86">
        <f t="shared" si="4"/>
        <v>859397.7</v>
      </c>
      <c r="AE22" s="86">
        <f t="shared" si="4"/>
        <v>181790.7</v>
      </c>
      <c r="AF22" s="86">
        <f t="shared" si="19"/>
        <v>190466.49999999994</v>
      </c>
      <c r="AG22" s="86">
        <f t="shared" si="5"/>
        <v>19046.649999999994</v>
      </c>
      <c r="AH22" s="86">
        <f t="shared" si="6"/>
        <v>73092.049999999988</v>
      </c>
      <c r="AI22" s="104">
        <f t="shared" si="7"/>
        <v>0</v>
      </c>
      <c r="AJ22" s="89">
        <f>IF(AI22&lt;=0.1,1.5,0)</f>
        <v>1.5</v>
      </c>
      <c r="AK22" s="90"/>
      <c r="AL22" s="91">
        <f t="shared" si="8"/>
        <v>1.5</v>
      </c>
      <c r="AM22" s="92"/>
      <c r="AN22" s="90"/>
      <c r="AO22" s="104">
        <v>0.81499999999999995</v>
      </c>
      <c r="AP22" s="89">
        <f>IF(AO22&lt;=1.05,1,0)</f>
        <v>1</v>
      </c>
      <c r="AQ22" s="90"/>
      <c r="AR22" s="107">
        <f t="shared" si="37"/>
        <v>1</v>
      </c>
      <c r="AS22" s="92"/>
      <c r="AT22" s="90"/>
      <c r="AU22" s="104">
        <v>0.79700000000000004</v>
      </c>
      <c r="AV22" s="89">
        <f>IF(AU22&lt;=1.05,1,0)</f>
        <v>1</v>
      </c>
      <c r="AW22" s="90"/>
      <c r="AX22" s="107">
        <f t="shared" si="39"/>
        <v>1</v>
      </c>
      <c r="AY22" s="95"/>
      <c r="AZ22" s="96"/>
      <c r="BA22" s="89">
        <f t="shared" si="23"/>
        <v>0</v>
      </c>
      <c r="BB22" s="125">
        <f t="shared" si="24"/>
        <v>6.5</v>
      </c>
      <c r="BC22" s="126">
        <v>1159243.03</v>
      </c>
      <c r="BD22" s="108">
        <v>31817.344000000001</v>
      </c>
      <c r="BF22" s="109">
        <f t="shared" si="11"/>
        <v>0.75031816077037039</v>
      </c>
      <c r="BG22" s="8">
        <f t="shared" si="25"/>
        <v>0</v>
      </c>
      <c r="BH22" s="110">
        <f t="shared" si="26"/>
        <v>0</v>
      </c>
      <c r="BI22" s="110">
        <f t="shared" si="27"/>
        <v>0</v>
      </c>
      <c r="BJ22" s="110">
        <f t="shared" si="28"/>
        <v>1</v>
      </c>
      <c r="BK22" s="8">
        <f t="shared" si="29"/>
        <v>0</v>
      </c>
      <c r="BM22" s="109">
        <f t="shared" si="12"/>
        <v>0.28001800474185035</v>
      </c>
      <c r="BN22" s="8">
        <f t="shared" si="30"/>
        <v>0</v>
      </c>
      <c r="BO22" s="110">
        <f t="shared" si="31"/>
        <v>0</v>
      </c>
      <c r="BP22" s="110">
        <f t="shared" si="32"/>
        <v>1</v>
      </c>
      <c r="BQ22" s="110">
        <f t="shared" si="33"/>
        <v>0</v>
      </c>
      <c r="BR22" s="8">
        <f t="shared" si="34"/>
        <v>0</v>
      </c>
      <c r="BS22" s="109">
        <f t="shared" si="35"/>
        <v>0.94120766295818747</v>
      </c>
    </row>
    <row r="23" spans="1:71" s="8" customFormat="1" ht="13" x14ac:dyDescent="0.3">
      <c r="A23" s="105" t="s">
        <v>90</v>
      </c>
      <c r="B23" s="76">
        <v>0</v>
      </c>
      <c r="C23" s="76">
        <v>9063.9</v>
      </c>
      <c r="D23" s="76">
        <v>0</v>
      </c>
      <c r="E23" s="82">
        <f t="shared" si="13"/>
        <v>0</v>
      </c>
      <c r="F23" s="102">
        <f>IF(E23&lt;=1.05,1,0)</f>
        <v>1</v>
      </c>
      <c r="G23" s="90"/>
      <c r="H23" s="91">
        <f t="shared" si="0"/>
        <v>1</v>
      </c>
      <c r="I23" s="76">
        <v>0</v>
      </c>
      <c r="J23" s="76">
        <v>757021.2</v>
      </c>
      <c r="K23" s="76">
        <v>650765.9</v>
      </c>
      <c r="L23" s="76">
        <v>82534.2</v>
      </c>
      <c r="M23" s="76">
        <v>0</v>
      </c>
      <c r="N23" s="82">
        <f>(I23)/(J23-K23-L23)</f>
        <v>0</v>
      </c>
      <c r="O23" s="102">
        <f>IF(N23&lt;=1,1,0)</f>
        <v>1</v>
      </c>
      <c r="P23" s="90"/>
      <c r="Q23" s="91">
        <f t="shared" si="2"/>
        <v>1</v>
      </c>
      <c r="R23" s="103">
        <v>0</v>
      </c>
      <c r="S23" s="76">
        <v>766085.1</v>
      </c>
      <c r="T23" s="84">
        <v>188672.06899999999</v>
      </c>
      <c r="U23" s="82">
        <f t="shared" si="16"/>
        <v>0</v>
      </c>
      <c r="V23" s="102">
        <f>IF(U23&lt;=0.15,1,0)</f>
        <v>1</v>
      </c>
      <c r="W23" s="90"/>
      <c r="X23" s="91">
        <f t="shared" si="17"/>
        <v>1</v>
      </c>
      <c r="Y23" s="76">
        <f t="shared" si="18"/>
        <v>9063.9</v>
      </c>
      <c r="Z23" s="86"/>
      <c r="AA23" s="86">
        <v>9063.9</v>
      </c>
      <c r="AB23" s="86"/>
      <c r="AC23" s="86">
        <f t="shared" si="4"/>
        <v>757021.2</v>
      </c>
      <c r="AD23" s="86">
        <f t="shared" si="4"/>
        <v>650765.9</v>
      </c>
      <c r="AE23" s="86">
        <f t="shared" si="4"/>
        <v>82534.2</v>
      </c>
      <c r="AF23" s="86">
        <f t="shared" si="19"/>
        <v>23721.099999999933</v>
      </c>
      <c r="AG23" s="86">
        <f t="shared" si="5"/>
        <v>2372.1099999999933</v>
      </c>
      <c r="AH23" s="86">
        <f t="shared" si="6"/>
        <v>11436.009999999993</v>
      </c>
      <c r="AI23" s="104">
        <f t="shared" si="7"/>
        <v>0</v>
      </c>
      <c r="AJ23" s="89">
        <f>IF(AI23&lt;=0.1,1.5,0)</f>
        <v>1.5</v>
      </c>
      <c r="AK23" s="90"/>
      <c r="AL23" s="91">
        <f t="shared" si="8"/>
        <v>1.5</v>
      </c>
      <c r="AM23" s="92"/>
      <c r="AN23" s="90"/>
      <c r="AO23" s="104">
        <v>0.76500000000000001</v>
      </c>
      <c r="AP23" s="89">
        <f>IF(AO23&lt;=1.05,1,0)</f>
        <v>1</v>
      </c>
      <c r="AQ23" s="90"/>
      <c r="AR23" s="107">
        <f t="shared" si="37"/>
        <v>1</v>
      </c>
      <c r="AS23" s="92"/>
      <c r="AT23" s="90"/>
      <c r="AU23" s="104">
        <v>0.876</v>
      </c>
      <c r="AV23" s="89">
        <f>IF(AU23&lt;=1.05,1,0)</f>
        <v>1</v>
      </c>
      <c r="AW23" s="90"/>
      <c r="AX23" s="107">
        <f t="shared" si="39"/>
        <v>1</v>
      </c>
      <c r="AY23" s="95"/>
      <c r="AZ23" s="96"/>
      <c r="BA23" s="89">
        <f t="shared" si="23"/>
        <v>0</v>
      </c>
      <c r="BB23" s="125">
        <f t="shared" si="24"/>
        <v>6.5</v>
      </c>
      <c r="BC23" s="126">
        <v>324203.13</v>
      </c>
      <c r="BD23" s="108">
        <v>40337.11</v>
      </c>
      <c r="BF23" s="109">
        <f t="shared" si="11"/>
        <v>0.95826315427233411</v>
      </c>
      <c r="BG23" s="8">
        <f t="shared" si="25"/>
        <v>0</v>
      </c>
      <c r="BH23" s="110">
        <f t="shared" si="26"/>
        <v>0</v>
      </c>
      <c r="BI23" s="110">
        <f t="shared" si="27"/>
        <v>0</v>
      </c>
      <c r="BJ23" s="110">
        <f t="shared" si="28"/>
        <v>0</v>
      </c>
      <c r="BK23" s="8">
        <f t="shared" si="29"/>
        <v>1</v>
      </c>
      <c r="BM23" s="109">
        <f t="shared" si="12"/>
        <v>0.21618984405555466</v>
      </c>
      <c r="BN23" s="8">
        <f t="shared" si="30"/>
        <v>0</v>
      </c>
      <c r="BO23" s="110">
        <f t="shared" si="31"/>
        <v>0</v>
      </c>
      <c r="BP23" s="110">
        <f t="shared" si="32"/>
        <v>1</v>
      </c>
      <c r="BQ23" s="110">
        <f t="shared" si="33"/>
        <v>0</v>
      </c>
      <c r="BR23" s="8">
        <f t="shared" si="34"/>
        <v>0</v>
      </c>
      <c r="BS23" s="109">
        <f t="shared" si="35"/>
        <v>0.42826162596239054</v>
      </c>
    </row>
    <row r="24" spans="1:71" s="8" customFormat="1" ht="13" x14ac:dyDescent="0.3">
      <c r="A24" s="105" t="s">
        <v>91</v>
      </c>
      <c r="B24" s="76">
        <v>0</v>
      </c>
      <c r="C24" s="76">
        <v>65501.9</v>
      </c>
      <c r="D24" s="76">
        <v>0</v>
      </c>
      <c r="E24" s="82">
        <f t="shared" si="13"/>
        <v>0</v>
      </c>
      <c r="F24" s="102">
        <f>IF(E24&lt;=1.05,1,0)</f>
        <v>1</v>
      </c>
      <c r="G24" s="90"/>
      <c r="H24" s="91">
        <f t="shared" si="0"/>
        <v>1</v>
      </c>
      <c r="I24" s="76">
        <v>0</v>
      </c>
      <c r="J24" s="76">
        <v>911777.7</v>
      </c>
      <c r="K24" s="76">
        <v>584996.6</v>
      </c>
      <c r="L24" s="76">
        <v>228596.2</v>
      </c>
      <c r="M24" s="76">
        <v>0</v>
      </c>
      <c r="N24" s="82">
        <f>(I24)/(J24-K24-L24)</f>
        <v>0</v>
      </c>
      <c r="O24" s="102">
        <f>IF(N24&lt;=1,1,0)</f>
        <v>1</v>
      </c>
      <c r="P24" s="90"/>
      <c r="Q24" s="91">
        <f t="shared" si="2"/>
        <v>1</v>
      </c>
      <c r="R24" s="103">
        <v>0</v>
      </c>
      <c r="S24" s="76">
        <v>977279.6</v>
      </c>
      <c r="T24" s="84">
        <v>430380.891</v>
      </c>
      <c r="U24" s="82">
        <f t="shared" si="16"/>
        <v>0</v>
      </c>
      <c r="V24" s="102">
        <f>IF(U24&lt;=0.15,1,0)</f>
        <v>1</v>
      </c>
      <c r="W24" s="90"/>
      <c r="X24" s="91">
        <f t="shared" si="17"/>
        <v>1</v>
      </c>
      <c r="Y24" s="76">
        <f t="shared" si="18"/>
        <v>65501.9</v>
      </c>
      <c r="Z24" s="86"/>
      <c r="AA24" s="86">
        <v>65501.9</v>
      </c>
      <c r="AB24" s="86"/>
      <c r="AC24" s="86">
        <f t="shared" si="4"/>
        <v>911777.7</v>
      </c>
      <c r="AD24" s="86">
        <f t="shared" si="4"/>
        <v>584996.6</v>
      </c>
      <c r="AE24" s="86">
        <f t="shared" si="4"/>
        <v>228596.2</v>
      </c>
      <c r="AF24" s="86">
        <f t="shared" si="19"/>
        <v>98184.899999999965</v>
      </c>
      <c r="AG24" s="86">
        <f t="shared" si="5"/>
        <v>9818.4899999999961</v>
      </c>
      <c r="AH24" s="86">
        <f t="shared" si="6"/>
        <v>75320.39</v>
      </c>
      <c r="AI24" s="104">
        <f t="shared" si="7"/>
        <v>0</v>
      </c>
      <c r="AJ24" s="89">
        <f>IF(AI24&lt;=0.1,1.5,0)</f>
        <v>1.5</v>
      </c>
      <c r="AK24" s="90"/>
      <c r="AL24" s="91">
        <f t="shared" si="8"/>
        <v>1.5</v>
      </c>
      <c r="AM24" s="92"/>
      <c r="AN24" s="90"/>
      <c r="AO24" s="104">
        <v>0.95</v>
      </c>
      <c r="AP24" s="89">
        <f>IF(AO24&lt;=1.05,1,0)</f>
        <v>1</v>
      </c>
      <c r="AQ24" s="90"/>
      <c r="AR24" s="107">
        <f t="shared" si="37"/>
        <v>1</v>
      </c>
      <c r="AS24" s="92"/>
      <c r="AT24" s="90"/>
      <c r="AU24" s="104">
        <v>0.97</v>
      </c>
      <c r="AV24" s="89">
        <f>IF(AU24&lt;=1.05,1,0)</f>
        <v>1</v>
      </c>
      <c r="AW24" s="90"/>
      <c r="AX24" s="107">
        <f t="shared" si="39"/>
        <v>1</v>
      </c>
      <c r="AY24" s="95"/>
      <c r="AZ24" s="96"/>
      <c r="BA24" s="89">
        <f t="shared" si="23"/>
        <v>0</v>
      </c>
      <c r="BB24" s="125">
        <f t="shared" si="24"/>
        <v>6.5</v>
      </c>
      <c r="BC24" s="126">
        <v>833092.97</v>
      </c>
      <c r="BD24" s="108">
        <v>16988.464</v>
      </c>
      <c r="BF24" s="109">
        <f t="shared" si="11"/>
        <v>0.79604164762961704</v>
      </c>
      <c r="BG24" s="8">
        <f t="shared" si="25"/>
        <v>0</v>
      </c>
      <c r="BH24" s="110">
        <f t="shared" si="26"/>
        <v>0</v>
      </c>
      <c r="BI24" s="110">
        <f t="shared" si="27"/>
        <v>0</v>
      </c>
      <c r="BJ24" s="110">
        <f t="shared" si="28"/>
        <v>1</v>
      </c>
      <c r="BK24" s="8">
        <f t="shared" si="29"/>
        <v>0</v>
      </c>
      <c r="BM24" s="109">
        <f t="shared" si="12"/>
        <v>0.51015017010634156</v>
      </c>
      <c r="BN24" s="8">
        <f t="shared" si="30"/>
        <v>0</v>
      </c>
      <c r="BO24" s="110">
        <f t="shared" si="31"/>
        <v>0</v>
      </c>
      <c r="BP24" s="110">
        <f t="shared" si="32"/>
        <v>0</v>
      </c>
      <c r="BQ24" s="110">
        <f t="shared" si="33"/>
        <v>1</v>
      </c>
      <c r="BR24" s="8">
        <f t="shared" si="34"/>
        <v>0</v>
      </c>
      <c r="BS24" s="109">
        <f t="shared" si="35"/>
        <v>0.91370184859752546</v>
      </c>
    </row>
    <row r="25" spans="1:71" s="8" customFormat="1" ht="13" x14ac:dyDescent="0.3">
      <c r="A25" s="105" t="s">
        <v>92</v>
      </c>
      <c r="B25" s="76">
        <v>0</v>
      </c>
      <c r="C25" s="76">
        <v>19658.8</v>
      </c>
      <c r="D25" s="76">
        <v>0</v>
      </c>
      <c r="E25" s="82">
        <f t="shared" si="13"/>
        <v>0</v>
      </c>
      <c r="F25" s="102"/>
      <c r="G25" s="90">
        <f>IF(E25&lt;=1.05,1,0)</f>
        <v>1</v>
      </c>
      <c r="H25" s="91">
        <f t="shared" si="0"/>
        <v>1</v>
      </c>
      <c r="I25" s="76">
        <v>0</v>
      </c>
      <c r="J25" s="76">
        <v>824047.7</v>
      </c>
      <c r="K25" s="76">
        <v>703045.5</v>
      </c>
      <c r="L25" s="76">
        <v>94887.4</v>
      </c>
      <c r="M25" s="76">
        <v>0</v>
      </c>
      <c r="N25" s="82">
        <f t="shared" si="15"/>
        <v>0</v>
      </c>
      <c r="O25" s="102"/>
      <c r="P25" s="90">
        <f>IF(N25&lt;=0.5,1,0)</f>
        <v>1</v>
      </c>
      <c r="Q25" s="91">
        <f t="shared" si="2"/>
        <v>1</v>
      </c>
      <c r="R25" s="103">
        <v>0</v>
      </c>
      <c r="S25" s="76">
        <v>843706.5</v>
      </c>
      <c r="T25" s="84">
        <v>190535.149</v>
      </c>
      <c r="U25" s="82">
        <f t="shared" si="16"/>
        <v>0</v>
      </c>
      <c r="V25" s="102"/>
      <c r="W25" s="90">
        <f>IF(U25&lt;=0.15,1,0)</f>
        <v>1</v>
      </c>
      <c r="X25" s="91">
        <f t="shared" si="17"/>
        <v>1</v>
      </c>
      <c r="Y25" s="76">
        <f>C25</f>
        <v>19658.8</v>
      </c>
      <c r="Z25" s="86"/>
      <c r="AA25" s="86">
        <v>19658.8</v>
      </c>
      <c r="AB25" s="86"/>
      <c r="AC25" s="86">
        <f t="shared" si="4"/>
        <v>824047.7</v>
      </c>
      <c r="AD25" s="86">
        <f t="shared" si="4"/>
        <v>703045.5</v>
      </c>
      <c r="AE25" s="86">
        <f t="shared" si="4"/>
        <v>94887.4</v>
      </c>
      <c r="AF25" s="86">
        <f t="shared" si="19"/>
        <v>26114.799999999959</v>
      </c>
      <c r="AG25" s="86">
        <f>AF25*5%</f>
        <v>1305.739999999998</v>
      </c>
      <c r="AH25" s="86">
        <f t="shared" si="6"/>
        <v>20964.539999999997</v>
      </c>
      <c r="AI25" s="104">
        <f t="shared" si="7"/>
        <v>0</v>
      </c>
      <c r="AJ25" s="89"/>
      <c r="AK25" s="106">
        <f>IF(AI25&lt;=0.05,1.5,0)</f>
        <v>1.5</v>
      </c>
      <c r="AL25" s="91">
        <f t="shared" si="8"/>
        <v>1.5</v>
      </c>
      <c r="AM25" s="92"/>
      <c r="AN25" s="90"/>
      <c r="AO25" s="104">
        <v>0.94</v>
      </c>
      <c r="AP25" s="89"/>
      <c r="AQ25" s="106">
        <f>IF(AO25&lt;=1.05,1,0)</f>
        <v>1</v>
      </c>
      <c r="AR25" s="107">
        <f t="shared" si="37"/>
        <v>1</v>
      </c>
      <c r="AS25" s="92"/>
      <c r="AT25" s="90"/>
      <c r="AU25" s="104">
        <v>0.84099999999999997</v>
      </c>
      <c r="AV25" s="89"/>
      <c r="AW25" s="106">
        <f>IF(AU25&lt;=1.05,1,0)</f>
        <v>1</v>
      </c>
      <c r="AX25" s="107">
        <f t="shared" si="39"/>
        <v>1</v>
      </c>
      <c r="AY25" s="95"/>
      <c r="AZ25" s="96"/>
      <c r="BA25" s="89">
        <f t="shared" si="23"/>
        <v>0</v>
      </c>
      <c r="BB25" s="125">
        <f t="shared" si="24"/>
        <v>6.5</v>
      </c>
      <c r="BC25" s="126">
        <v>342588.77</v>
      </c>
      <c r="BD25" s="108">
        <v>40388.538</v>
      </c>
      <c r="BF25" s="109">
        <f t="shared" si="11"/>
        <v>0.95877777013450216</v>
      </c>
      <c r="BG25" s="8">
        <f t="shared" si="25"/>
        <v>0</v>
      </c>
      <c r="BH25" s="110">
        <f t="shared" si="26"/>
        <v>0</v>
      </c>
      <c r="BI25" s="110">
        <f t="shared" si="27"/>
        <v>0</v>
      </c>
      <c r="BJ25" s="110">
        <f t="shared" si="28"/>
        <v>0</v>
      </c>
      <c r="BK25" s="8">
        <f t="shared" si="29"/>
        <v>1</v>
      </c>
      <c r="BM25" s="109">
        <f t="shared" si="12"/>
        <v>0.21353316171316075</v>
      </c>
      <c r="BN25" s="8">
        <f t="shared" si="30"/>
        <v>0</v>
      </c>
      <c r="BO25" s="110">
        <f t="shared" si="31"/>
        <v>0</v>
      </c>
      <c r="BP25" s="110">
        <f t="shared" si="32"/>
        <v>1</v>
      </c>
      <c r="BQ25" s="110">
        <f t="shared" si="33"/>
        <v>0</v>
      </c>
      <c r="BR25" s="8">
        <f t="shared" si="34"/>
        <v>0</v>
      </c>
      <c r="BS25" s="109">
        <f t="shared" si="35"/>
        <v>0.41573900394358243</v>
      </c>
    </row>
    <row r="26" spans="1:71" s="8" customFormat="1" ht="13" x14ac:dyDescent="0.3">
      <c r="A26" s="105" t="s">
        <v>93</v>
      </c>
      <c r="B26" s="76">
        <v>0</v>
      </c>
      <c r="C26" s="76">
        <v>23385.7</v>
      </c>
      <c r="D26" s="76">
        <v>0</v>
      </c>
      <c r="E26" s="82">
        <f t="shared" si="13"/>
        <v>0</v>
      </c>
      <c r="F26" s="102"/>
      <c r="G26" s="90">
        <f>IF(E26&lt;=1.05,1,0)</f>
        <v>1</v>
      </c>
      <c r="H26" s="91">
        <f t="shared" si="0"/>
        <v>1</v>
      </c>
      <c r="I26" s="76">
        <v>0</v>
      </c>
      <c r="J26" s="76">
        <v>2481905.4</v>
      </c>
      <c r="K26" s="76">
        <v>2199297.7999999998</v>
      </c>
      <c r="L26" s="76">
        <v>211821.7</v>
      </c>
      <c r="M26" s="76">
        <v>0</v>
      </c>
      <c r="N26" s="82">
        <f t="shared" si="15"/>
        <v>0</v>
      </c>
      <c r="O26" s="102"/>
      <c r="P26" s="90">
        <f>IF(N26&lt;=0.5,1,0)</f>
        <v>1</v>
      </c>
      <c r="Q26" s="91">
        <f>O26+P26</f>
        <v>1</v>
      </c>
      <c r="R26" s="103">
        <v>0</v>
      </c>
      <c r="S26" s="76">
        <v>2505291.1</v>
      </c>
      <c r="T26" s="84">
        <v>445877.99300000002</v>
      </c>
      <c r="U26" s="82">
        <f t="shared" si="16"/>
        <v>0</v>
      </c>
      <c r="V26" s="102"/>
      <c r="W26" s="90">
        <f>IF(U26&lt;=0.15,1,0)</f>
        <v>1</v>
      </c>
      <c r="X26" s="91">
        <f t="shared" si="17"/>
        <v>1</v>
      </c>
      <c r="Y26" s="76">
        <f t="shared" si="18"/>
        <v>23385.7</v>
      </c>
      <c r="Z26" s="86"/>
      <c r="AA26" s="86">
        <v>23385.7</v>
      </c>
      <c r="AB26" s="86"/>
      <c r="AC26" s="86">
        <f t="shared" si="4"/>
        <v>2481905.4</v>
      </c>
      <c r="AD26" s="86">
        <f t="shared" si="4"/>
        <v>2199297.7999999998</v>
      </c>
      <c r="AE26" s="86">
        <f t="shared" si="4"/>
        <v>211821.7</v>
      </c>
      <c r="AF26" s="86">
        <f t="shared" si="19"/>
        <v>70785.900000000081</v>
      </c>
      <c r="AG26" s="86">
        <f>AF26*10%</f>
        <v>7078.5900000000083</v>
      </c>
      <c r="AH26" s="86">
        <f t="shared" si="6"/>
        <v>30464.290000000008</v>
      </c>
      <c r="AI26" s="104">
        <f t="shared" si="7"/>
        <v>0</v>
      </c>
      <c r="AJ26" s="89"/>
      <c r="AK26" s="106">
        <f>IF(AI26&lt;=0.05,1.5,0)</f>
        <v>1.5</v>
      </c>
      <c r="AL26" s="91">
        <f t="shared" si="8"/>
        <v>1.5</v>
      </c>
      <c r="AM26" s="92"/>
      <c r="AN26" s="90"/>
      <c r="AO26" s="104">
        <v>0.96399999999999997</v>
      </c>
      <c r="AP26" s="89"/>
      <c r="AQ26" s="106">
        <f>IF(AO26&lt;=1.05,1,0)</f>
        <v>1</v>
      </c>
      <c r="AR26" s="107">
        <f t="shared" si="37"/>
        <v>1</v>
      </c>
      <c r="AS26" s="92"/>
      <c r="AT26" s="90"/>
      <c r="AU26" s="104">
        <v>0.97</v>
      </c>
      <c r="AV26" s="89"/>
      <c r="AW26" s="106">
        <f>IF(AU26&lt;=1.05,1,0)</f>
        <v>1</v>
      </c>
      <c r="AX26" s="107">
        <f t="shared" si="39"/>
        <v>1</v>
      </c>
      <c r="AY26" s="95"/>
      <c r="AZ26" s="96"/>
      <c r="BA26" s="89">
        <f t="shared" si="23"/>
        <v>0</v>
      </c>
      <c r="BB26" s="125">
        <f t="shared" si="24"/>
        <v>6.5</v>
      </c>
      <c r="BC26" s="126">
        <v>1504938</v>
      </c>
      <c r="BD26" s="108">
        <v>46282.382380000003</v>
      </c>
      <c r="BF26" s="109">
        <f t="shared" si="11"/>
        <v>0.96523332654725902</v>
      </c>
      <c r="BG26" s="8">
        <f t="shared" si="25"/>
        <v>0</v>
      </c>
      <c r="BH26" s="110">
        <f t="shared" si="26"/>
        <v>0</v>
      </c>
      <c r="BI26" s="110">
        <f t="shared" si="27"/>
        <v>0</v>
      </c>
      <c r="BJ26" s="110">
        <f t="shared" si="28"/>
        <v>0</v>
      </c>
      <c r="BK26" s="8">
        <f t="shared" si="29"/>
        <v>1</v>
      </c>
      <c r="BM26" s="109">
        <f t="shared" si="12"/>
        <v>0.12676847153069784</v>
      </c>
      <c r="BN26" s="8">
        <f t="shared" si="30"/>
        <v>0</v>
      </c>
      <c r="BO26" s="110">
        <f t="shared" si="31"/>
        <v>1</v>
      </c>
      <c r="BP26" s="110">
        <f t="shared" si="32"/>
        <v>0</v>
      </c>
      <c r="BQ26" s="110">
        <f t="shared" si="33"/>
        <v>0</v>
      </c>
      <c r="BR26" s="8">
        <f t="shared" si="34"/>
        <v>0</v>
      </c>
      <c r="BS26" s="109">
        <f t="shared" si="35"/>
        <v>0.60636396536306347</v>
      </c>
    </row>
    <row r="27" spans="1:71" s="8" customFormat="1" ht="13" x14ac:dyDescent="0.3">
      <c r="A27" s="105" t="s">
        <v>94</v>
      </c>
      <c r="B27" s="76">
        <v>0</v>
      </c>
      <c r="C27" s="76">
        <v>27999.8</v>
      </c>
      <c r="D27" s="76">
        <v>0</v>
      </c>
      <c r="E27" s="82">
        <f>IF(AND(B27=0,D27=0),0,B27/(IF(C27&gt;0,C27,0)+D27))</f>
        <v>0</v>
      </c>
      <c r="F27" s="102">
        <f>IF(E27&lt;=1.05,1,0)</f>
        <v>1</v>
      </c>
      <c r="G27" s="90"/>
      <c r="H27" s="91">
        <f>F27+G27</f>
        <v>1</v>
      </c>
      <c r="I27" s="76">
        <v>0</v>
      </c>
      <c r="J27" s="76">
        <v>636031.80000000005</v>
      </c>
      <c r="K27" s="76">
        <v>472020.1</v>
      </c>
      <c r="L27" s="76">
        <v>97957.1</v>
      </c>
      <c r="M27" s="76">
        <v>0</v>
      </c>
      <c r="N27" s="82">
        <f>(I27)/(J27-K27-L27)</f>
        <v>0</v>
      </c>
      <c r="O27" s="102">
        <f>IF(N27&lt;=1,1,0)</f>
        <v>1</v>
      </c>
      <c r="P27" s="90"/>
      <c r="Q27" s="91">
        <f>O27+P27</f>
        <v>1</v>
      </c>
      <c r="R27" s="103">
        <v>0</v>
      </c>
      <c r="S27" s="76">
        <v>664031.6</v>
      </c>
      <c r="T27" s="84">
        <v>350035.38400000002</v>
      </c>
      <c r="U27" s="82">
        <f>R27/(S27-T27)</f>
        <v>0</v>
      </c>
      <c r="V27" s="102">
        <f>IF(U27&lt;=0.15,1,0)</f>
        <v>1</v>
      </c>
      <c r="W27" s="90"/>
      <c r="X27" s="91">
        <f>V27+W27</f>
        <v>1</v>
      </c>
      <c r="Y27" s="76">
        <f>C27</f>
        <v>27999.8</v>
      </c>
      <c r="Z27" s="86"/>
      <c r="AA27" s="86">
        <v>27999.8</v>
      </c>
      <c r="AB27" s="86"/>
      <c r="AC27" s="86">
        <f t="shared" si="4"/>
        <v>636031.80000000005</v>
      </c>
      <c r="AD27" s="86">
        <f t="shared" si="4"/>
        <v>472020.1</v>
      </c>
      <c r="AE27" s="86">
        <f t="shared" si="4"/>
        <v>97957.1</v>
      </c>
      <c r="AF27" s="86">
        <f>AC27-AD27-AE27</f>
        <v>66054.600000000064</v>
      </c>
      <c r="AG27" s="86">
        <f>AF27*10%</f>
        <v>6605.4600000000064</v>
      </c>
      <c r="AH27" s="86">
        <f>IF(AA27&gt;0,AA27,0)+AG27+IF(AB27&gt;0,AB27,0)</f>
        <v>34605.260000000009</v>
      </c>
      <c r="AI27" s="104">
        <f>IF((Y27-IF(Z27&gt;0,Z27,0)-IF(AA27&gt;0,AA27,0)-IF(AB27&gt;0,AB27,0))/(AC27-AD27-AE27)&gt;0,(Y27-IF(Z27&gt;0,Z27,0)-IF(AA27&gt;0,AA27,0)-IF(AB27&gt;0,AB27,0))/(AC27-AD27-AE27),0)</f>
        <v>0</v>
      </c>
      <c r="AJ27" s="89">
        <f>IF(AI27&lt;=0.1,1.5,0)</f>
        <v>1.5</v>
      </c>
      <c r="AK27" s="90"/>
      <c r="AL27" s="91">
        <f>AJ27+AK27</f>
        <v>1.5</v>
      </c>
      <c r="AM27" s="92"/>
      <c r="AN27" s="90"/>
      <c r="AO27" s="104">
        <v>0.88700000000000001</v>
      </c>
      <c r="AP27" s="89">
        <f>IF(AO27&lt;=1.05,1,0)</f>
        <v>1</v>
      </c>
      <c r="AQ27" s="90"/>
      <c r="AR27" s="107">
        <f>AP27+AQ27</f>
        <v>1</v>
      </c>
      <c r="AS27" s="92"/>
      <c r="AT27" s="90"/>
      <c r="AU27" s="104">
        <v>0.94099999999999995</v>
      </c>
      <c r="AV27" s="89">
        <f>IF(AU27&lt;=1.05,1,0)</f>
        <v>1</v>
      </c>
      <c r="AW27" s="90"/>
      <c r="AX27" s="107">
        <f>AV27+AW27</f>
        <v>1</v>
      </c>
      <c r="AY27" s="95"/>
      <c r="AZ27" s="96"/>
      <c r="BA27" s="89">
        <f>AZ27</f>
        <v>0</v>
      </c>
      <c r="BB27" s="125">
        <f t="shared" si="24"/>
        <v>6.5</v>
      </c>
      <c r="BC27" s="126">
        <v>482639.51</v>
      </c>
      <c r="BD27" s="108">
        <v>30349.421999999999</v>
      </c>
      <c r="BF27" s="109">
        <f t="shared" si="11"/>
        <v>0.76903696583386527</v>
      </c>
      <c r="BG27" s="8">
        <f t="shared" si="25"/>
        <v>0</v>
      </c>
      <c r="BH27" s="110">
        <f t="shared" si="26"/>
        <v>0</v>
      </c>
      <c r="BI27" s="110">
        <f t="shared" si="27"/>
        <v>0</v>
      </c>
      <c r="BJ27" s="110">
        <f t="shared" si="28"/>
        <v>1</v>
      </c>
      <c r="BK27" s="8">
        <f t="shared" si="29"/>
        <v>0</v>
      </c>
      <c r="BM27" s="109">
        <f t="shared" si="12"/>
        <v>0.44862982478773433</v>
      </c>
      <c r="BN27" s="8">
        <f t="shared" si="30"/>
        <v>0</v>
      </c>
      <c r="BO27" s="110">
        <f t="shared" si="31"/>
        <v>0</v>
      </c>
      <c r="BP27" s="110">
        <f t="shared" si="32"/>
        <v>1</v>
      </c>
      <c r="BQ27" s="110">
        <f t="shared" si="33"/>
        <v>0</v>
      </c>
      <c r="BR27" s="8">
        <f t="shared" si="34"/>
        <v>0</v>
      </c>
      <c r="BS27" s="109">
        <f t="shared" si="35"/>
        <v>0.75882921262741887</v>
      </c>
    </row>
    <row r="28" spans="1:71" s="8" customFormat="1" ht="13" x14ac:dyDescent="0.3">
      <c r="A28" s="105" t="s">
        <v>95</v>
      </c>
      <c r="B28" s="76">
        <v>0</v>
      </c>
      <c r="C28" s="76">
        <v>48958.9</v>
      </c>
      <c r="D28" s="76">
        <v>0</v>
      </c>
      <c r="E28" s="82">
        <f>IF(AND(B28=0,D28=0),0,B28/(IF(C28&gt;0,C28,0)+D28))</f>
        <v>0</v>
      </c>
      <c r="F28" s="102">
        <f>IF(E28&lt;=1.05,1,0)</f>
        <v>1</v>
      </c>
      <c r="G28" s="90"/>
      <c r="H28" s="91">
        <f>F28+G28</f>
        <v>1</v>
      </c>
      <c r="I28" s="76">
        <v>0</v>
      </c>
      <c r="J28" s="76">
        <v>589105.80000000005</v>
      </c>
      <c r="K28" s="76">
        <v>384760.6</v>
      </c>
      <c r="L28" s="76">
        <v>129223.8</v>
      </c>
      <c r="M28" s="76">
        <v>0</v>
      </c>
      <c r="N28" s="82">
        <f>(I28)/(J28-K28-L28)</f>
        <v>0</v>
      </c>
      <c r="O28" s="102">
        <f>IF(N28&lt;=1,1,0)</f>
        <v>1</v>
      </c>
      <c r="P28" s="90"/>
      <c r="Q28" s="91">
        <f>O28+P28</f>
        <v>1</v>
      </c>
      <c r="R28" s="103">
        <v>0</v>
      </c>
      <c r="S28" s="76">
        <v>638064.69999999995</v>
      </c>
      <c r="T28" s="84">
        <v>220789.51199999999</v>
      </c>
      <c r="U28" s="82">
        <f>R28/(S28-T28)</f>
        <v>0</v>
      </c>
      <c r="V28" s="102">
        <f>IF(U28&lt;=0.15,1,0)</f>
        <v>1</v>
      </c>
      <c r="W28" s="90"/>
      <c r="X28" s="91">
        <f>V28+W28</f>
        <v>1</v>
      </c>
      <c r="Y28" s="76">
        <f>C28</f>
        <v>48958.9</v>
      </c>
      <c r="Z28" s="86"/>
      <c r="AA28" s="86">
        <v>48958.9</v>
      </c>
      <c r="AB28" s="86"/>
      <c r="AC28" s="86">
        <f t="shared" si="4"/>
        <v>589105.80000000005</v>
      </c>
      <c r="AD28" s="86">
        <f t="shared" si="4"/>
        <v>384760.6</v>
      </c>
      <c r="AE28" s="86">
        <f t="shared" si="4"/>
        <v>129223.8</v>
      </c>
      <c r="AF28" s="86">
        <f>AC28-AD28-AE28</f>
        <v>75121.400000000067</v>
      </c>
      <c r="AG28" s="86">
        <f>AF28*10%</f>
        <v>7512.1400000000067</v>
      </c>
      <c r="AH28" s="86">
        <f>IF(AA28&gt;0,AA28,0)+AG28+IF(AB28&gt;0,AB28,0)</f>
        <v>56471.040000000008</v>
      </c>
      <c r="AI28" s="104">
        <f>IF((Y28-IF(Z28&gt;0,Z28,0)-IF(AA28&gt;0,AA28,0)-IF(AB28&gt;0,AB28,0))/(AC28-AD28-AE28)&gt;0,(Y28-IF(Z28&gt;0,Z28,0)-IF(AA28&gt;0,AA28,0)-IF(AB28&gt;0,AB28,0))/(AC28-AD28-AE28),0)</f>
        <v>0</v>
      </c>
      <c r="AJ28" s="89">
        <f>IF(AI28&lt;=0.1,1.5,0)</f>
        <v>1.5</v>
      </c>
      <c r="AK28" s="90"/>
      <c r="AL28" s="91">
        <f>AJ28+AK28</f>
        <v>1.5</v>
      </c>
      <c r="AM28" s="92"/>
      <c r="AN28" s="90"/>
      <c r="AO28" s="104">
        <v>0.89200000000000002</v>
      </c>
      <c r="AP28" s="89">
        <f>IF(AO28&lt;=1.05,1,0)</f>
        <v>1</v>
      </c>
      <c r="AQ28" s="90"/>
      <c r="AR28" s="107">
        <f>AP28+AQ28</f>
        <v>1</v>
      </c>
      <c r="AS28" s="92"/>
      <c r="AT28" s="90"/>
      <c r="AU28" s="104">
        <v>0.78200000000000003</v>
      </c>
      <c r="AV28" s="89">
        <f>IF(AU28&lt;=1.05,1,0)</f>
        <v>1</v>
      </c>
      <c r="AW28" s="90"/>
      <c r="AX28" s="107">
        <f>AV28+AW28</f>
        <v>1</v>
      </c>
      <c r="AY28" s="95"/>
      <c r="AZ28" s="96"/>
      <c r="BA28" s="89">
        <f>AZ28</f>
        <v>0</v>
      </c>
      <c r="BB28" s="125">
        <f t="shared" si="24"/>
        <v>6.5</v>
      </c>
      <c r="BC28" s="126">
        <v>449427.12</v>
      </c>
      <c r="BD28" s="108">
        <v>43739.487999999998</v>
      </c>
      <c r="BF28" s="109">
        <f t="shared" si="11"/>
        <v>0.79604105914533962</v>
      </c>
      <c r="BG28" s="8">
        <f t="shared" si="25"/>
        <v>0</v>
      </c>
      <c r="BH28" s="110">
        <f t="shared" si="26"/>
        <v>0</v>
      </c>
      <c r="BI28" s="110">
        <f t="shared" si="27"/>
        <v>0</v>
      </c>
      <c r="BJ28" s="110">
        <f t="shared" si="28"/>
        <v>1</v>
      </c>
      <c r="BK28" s="8">
        <f t="shared" si="29"/>
        <v>0</v>
      </c>
      <c r="BM28" s="109">
        <f t="shared" si="12"/>
        <v>0.46960531921955073</v>
      </c>
      <c r="BN28" s="8">
        <f t="shared" si="30"/>
        <v>0</v>
      </c>
      <c r="BO28" s="110">
        <f t="shared" si="31"/>
        <v>0</v>
      </c>
      <c r="BP28" s="110">
        <f t="shared" si="32"/>
        <v>1</v>
      </c>
      <c r="BQ28" s="110">
        <f t="shared" si="33"/>
        <v>0</v>
      </c>
      <c r="BR28" s="8">
        <f t="shared" si="34"/>
        <v>0</v>
      </c>
      <c r="BS28" s="109">
        <f t="shared" si="35"/>
        <v>0.76289712306346324</v>
      </c>
    </row>
    <row r="29" spans="1:71" s="8" customFormat="1" ht="13" x14ac:dyDescent="0.3">
      <c r="A29" s="105" t="s">
        <v>96</v>
      </c>
      <c r="B29" s="76">
        <v>0</v>
      </c>
      <c r="C29" s="76">
        <v>5497.4</v>
      </c>
      <c r="D29" s="76">
        <v>0</v>
      </c>
      <c r="E29" s="82">
        <f>IF(AND(B29=0,D29=0),0,B29/(IF(C29&gt;0,C29,0)+D29))</f>
        <v>0</v>
      </c>
      <c r="F29" s="102">
        <f>IF(E29&lt;=1.05,1,0)</f>
        <v>1</v>
      </c>
      <c r="G29" s="90"/>
      <c r="H29" s="91">
        <f>F29+G29</f>
        <v>1</v>
      </c>
      <c r="I29" s="76">
        <v>0</v>
      </c>
      <c r="J29" s="76">
        <v>423218.7</v>
      </c>
      <c r="K29" s="76">
        <v>335666.7</v>
      </c>
      <c r="L29" s="76">
        <v>61643.8</v>
      </c>
      <c r="M29" s="76">
        <v>0</v>
      </c>
      <c r="N29" s="82">
        <f>(I29)/(J29-K29-L29)</f>
        <v>0</v>
      </c>
      <c r="O29" s="102">
        <f>IF(N29&lt;=1,1,0)</f>
        <v>1</v>
      </c>
      <c r="P29" s="90"/>
      <c r="Q29" s="91">
        <f>O29+P29</f>
        <v>1</v>
      </c>
      <c r="R29" s="103">
        <v>0</v>
      </c>
      <c r="S29" s="76">
        <v>428716</v>
      </c>
      <c r="T29" s="84">
        <v>220743.83199999999</v>
      </c>
      <c r="U29" s="82">
        <f>R29/(S29-T29)</f>
        <v>0</v>
      </c>
      <c r="V29" s="102">
        <f>IF(U29&lt;=0.15,1,0)</f>
        <v>1</v>
      </c>
      <c r="W29" s="90"/>
      <c r="X29" s="91">
        <f>V29+W29</f>
        <v>1</v>
      </c>
      <c r="Y29" s="76">
        <f>C29</f>
        <v>5497.4</v>
      </c>
      <c r="Z29" s="86"/>
      <c r="AA29" s="86">
        <v>5497.4</v>
      </c>
      <c r="AB29" s="86"/>
      <c r="AC29" s="86">
        <f t="shared" si="4"/>
        <v>423218.7</v>
      </c>
      <c r="AD29" s="86">
        <f t="shared" si="4"/>
        <v>335666.7</v>
      </c>
      <c r="AE29" s="86">
        <f t="shared" si="4"/>
        <v>61643.8</v>
      </c>
      <c r="AF29" s="86">
        <f>AC29-AD29-AE29</f>
        <v>25908.199999999997</v>
      </c>
      <c r="AG29" s="86">
        <f>AF29*10%</f>
        <v>2590.8199999999997</v>
      </c>
      <c r="AH29" s="86">
        <f>IF(AA29&gt;0,AA29,0)+AG29+IF(AB29&gt;0,AB29,0)</f>
        <v>8088.2199999999993</v>
      </c>
      <c r="AI29" s="104">
        <f>IF((Y29-IF(Z29&gt;0,Z29,0)-IF(AA29&gt;0,AA29,0)-IF(AB29&gt;0,AB29,0))/(AC29-AD29-AE29)&gt;0,(Y29-IF(Z29&gt;0,Z29,0)-IF(AA29&gt;0,AA29,0)-IF(AB29&gt;0,AB29,0))/(AC29-AD29-AE29),0)</f>
        <v>0</v>
      </c>
      <c r="AJ29" s="89">
        <f>IF(AI29&lt;=0.1,1.5,0)</f>
        <v>1.5</v>
      </c>
      <c r="AK29" s="90"/>
      <c r="AL29" s="91">
        <f>AJ29+AK29</f>
        <v>1.5</v>
      </c>
      <c r="AM29" s="92"/>
      <c r="AN29" s="90"/>
      <c r="AO29" s="104">
        <v>0.95399999999999996</v>
      </c>
      <c r="AP29" s="89">
        <f>IF(AO29&lt;=1.05,1,0)</f>
        <v>1</v>
      </c>
      <c r="AQ29" s="90"/>
      <c r="AR29" s="107">
        <f>AP29+AQ29</f>
        <v>1</v>
      </c>
      <c r="AS29" s="92"/>
      <c r="AT29" s="90"/>
      <c r="AU29" s="104">
        <v>0.92600000000000005</v>
      </c>
      <c r="AV29" s="89">
        <f>IF(AU29&lt;=1.05,1,0)</f>
        <v>1</v>
      </c>
      <c r="AW29" s="90"/>
      <c r="AX29" s="107">
        <f>AV29+AW29</f>
        <v>1</v>
      </c>
      <c r="AY29" s="95"/>
      <c r="AZ29" s="96"/>
      <c r="BA29" s="89">
        <f>AZ29</f>
        <v>0</v>
      </c>
      <c r="BB29" s="125">
        <f t="shared" si="24"/>
        <v>6.5</v>
      </c>
      <c r="BC29" s="126">
        <v>414596.4</v>
      </c>
      <c r="BD29" s="108">
        <v>50833.507740000001</v>
      </c>
      <c r="BF29" s="109">
        <f t="shared" si="11"/>
        <v>0.87204239095984981</v>
      </c>
      <c r="BG29" s="8">
        <f t="shared" si="25"/>
        <v>0</v>
      </c>
      <c r="BH29" s="110">
        <f t="shared" si="26"/>
        <v>0</v>
      </c>
      <c r="BI29" s="110">
        <f t="shared" si="27"/>
        <v>0</v>
      </c>
      <c r="BJ29" s="110">
        <f t="shared" si="28"/>
        <v>1</v>
      </c>
      <c r="BK29" s="8">
        <f t="shared" si="29"/>
        <v>0</v>
      </c>
      <c r="BM29" s="109">
        <f t="shared" si="12"/>
        <v>0.55551243890673874</v>
      </c>
      <c r="BN29" s="8">
        <f t="shared" si="30"/>
        <v>0</v>
      </c>
      <c r="BO29" s="110">
        <f t="shared" si="31"/>
        <v>0</v>
      </c>
      <c r="BP29" s="110">
        <f t="shared" si="32"/>
        <v>0</v>
      </c>
      <c r="BQ29" s="110">
        <f t="shared" si="33"/>
        <v>1</v>
      </c>
      <c r="BR29" s="8">
        <f t="shared" si="34"/>
        <v>0</v>
      </c>
      <c r="BS29" s="109">
        <f t="shared" si="35"/>
        <v>0.97962684541113143</v>
      </c>
    </row>
    <row r="30" spans="1:71" s="8" customFormat="1" ht="13" x14ac:dyDescent="0.3">
      <c r="A30" s="105" t="s">
        <v>97</v>
      </c>
      <c r="B30" s="76">
        <v>0</v>
      </c>
      <c r="C30" s="76">
        <v>24389.9</v>
      </c>
      <c r="D30" s="76">
        <v>0</v>
      </c>
      <c r="E30" s="82">
        <f t="shared" si="13"/>
        <v>0</v>
      </c>
      <c r="F30" s="102"/>
      <c r="G30" s="90">
        <f>IF(E30&lt;=1.05,1,0)</f>
        <v>1</v>
      </c>
      <c r="H30" s="91">
        <f t="shared" si="0"/>
        <v>1</v>
      </c>
      <c r="I30" s="76">
        <v>0</v>
      </c>
      <c r="J30" s="76">
        <v>557152.6</v>
      </c>
      <c r="K30" s="76">
        <v>404434.3</v>
      </c>
      <c r="L30" s="76">
        <v>99614.7</v>
      </c>
      <c r="M30" s="76">
        <v>0</v>
      </c>
      <c r="N30" s="82">
        <f t="shared" si="15"/>
        <v>0</v>
      </c>
      <c r="O30" s="102"/>
      <c r="P30" s="90">
        <f>IF(N30&lt;=0.5,1,0)</f>
        <v>1</v>
      </c>
      <c r="Q30" s="91">
        <f t="shared" si="2"/>
        <v>1</v>
      </c>
      <c r="R30" s="103">
        <v>0</v>
      </c>
      <c r="S30" s="76">
        <v>581542.5</v>
      </c>
      <c r="T30" s="84">
        <v>228096.17499999999</v>
      </c>
      <c r="U30" s="82">
        <f t="shared" si="16"/>
        <v>0</v>
      </c>
      <c r="V30" s="102"/>
      <c r="W30" s="90">
        <f>IF(U30&lt;=0.15,1,0)</f>
        <v>1</v>
      </c>
      <c r="X30" s="91">
        <f t="shared" si="17"/>
        <v>1</v>
      </c>
      <c r="Y30" s="76">
        <f t="shared" si="18"/>
        <v>24389.9</v>
      </c>
      <c r="Z30" s="86"/>
      <c r="AA30" s="86">
        <v>24389.9</v>
      </c>
      <c r="AB30" s="86"/>
      <c r="AC30" s="86">
        <f t="shared" si="4"/>
        <v>557152.6</v>
      </c>
      <c r="AD30" s="86">
        <f t="shared" si="4"/>
        <v>404434.3</v>
      </c>
      <c r="AE30" s="86">
        <f t="shared" si="4"/>
        <v>99614.7</v>
      </c>
      <c r="AF30" s="86">
        <f t="shared" si="19"/>
        <v>53103.599999999991</v>
      </c>
      <c r="AG30" s="86">
        <f>AF30*5%</f>
        <v>2655.18</v>
      </c>
      <c r="AH30" s="86">
        <f t="shared" si="6"/>
        <v>27045.08</v>
      </c>
      <c r="AI30" s="104">
        <f t="shared" si="7"/>
        <v>0</v>
      </c>
      <c r="AJ30" s="102"/>
      <c r="AK30" s="106">
        <f>IF(AI30&lt;=0.05,1.5,0)</f>
        <v>1.5</v>
      </c>
      <c r="AL30" s="91">
        <f t="shared" si="8"/>
        <v>1.5</v>
      </c>
      <c r="AM30" s="92"/>
      <c r="AN30" s="90"/>
      <c r="AO30" s="104">
        <v>0.92800000000000005</v>
      </c>
      <c r="AP30" s="102"/>
      <c r="AQ30" s="106">
        <f>IF(AO30&lt;=1.05,1,0)</f>
        <v>1</v>
      </c>
      <c r="AR30" s="107">
        <f t="shared" ref="AR30:AR40" si="40">AP30+AQ30</f>
        <v>1</v>
      </c>
      <c r="AS30" s="92"/>
      <c r="AT30" s="90"/>
      <c r="AU30" s="104">
        <v>0.89</v>
      </c>
      <c r="AV30" s="102"/>
      <c r="AW30" s="106">
        <f>IF(AU30&lt;=1.05,1,0)</f>
        <v>1</v>
      </c>
      <c r="AX30" s="107">
        <f t="shared" ref="AX30:AX40" si="41">AV30+AW30</f>
        <v>1</v>
      </c>
      <c r="AY30" s="95"/>
      <c r="AZ30" s="96"/>
      <c r="BA30" s="89">
        <f t="shared" si="23"/>
        <v>0</v>
      </c>
      <c r="BB30" s="125">
        <f t="shared" si="24"/>
        <v>6.5</v>
      </c>
      <c r="BC30" s="126">
        <v>435611.36</v>
      </c>
      <c r="BD30" s="108">
        <v>44476.896000000001</v>
      </c>
      <c r="BF30" s="109">
        <f t="shared" si="11"/>
        <v>0.83861855911186056</v>
      </c>
      <c r="BG30" s="8">
        <f t="shared" si="25"/>
        <v>0</v>
      </c>
      <c r="BH30" s="110">
        <f t="shared" si="26"/>
        <v>0</v>
      </c>
      <c r="BI30" s="110">
        <f t="shared" si="27"/>
        <v>0</v>
      </c>
      <c r="BJ30" s="110">
        <f t="shared" si="28"/>
        <v>1</v>
      </c>
      <c r="BK30" s="8">
        <f t="shared" si="29"/>
        <v>0</v>
      </c>
      <c r="BM30" s="109">
        <f t="shared" si="12"/>
        <v>0.43789327620635277</v>
      </c>
      <c r="BN30" s="8">
        <f t="shared" si="30"/>
        <v>0</v>
      </c>
      <c r="BO30" s="110">
        <f t="shared" si="31"/>
        <v>0</v>
      </c>
      <c r="BP30" s="110">
        <f t="shared" si="32"/>
        <v>1</v>
      </c>
      <c r="BQ30" s="110">
        <f t="shared" si="33"/>
        <v>0</v>
      </c>
      <c r="BR30" s="8">
        <f t="shared" si="34"/>
        <v>0</v>
      </c>
      <c r="BS30" s="109">
        <f t="shared" si="35"/>
        <v>0.78185287118825253</v>
      </c>
    </row>
    <row r="31" spans="1:71" s="8" customFormat="1" ht="13" x14ac:dyDescent="0.3">
      <c r="A31" s="105" t="s">
        <v>98</v>
      </c>
      <c r="B31" s="76">
        <v>0</v>
      </c>
      <c r="C31" s="76">
        <v>100826.3</v>
      </c>
      <c r="D31" s="76">
        <v>0</v>
      </c>
      <c r="E31" s="82">
        <f>IF(AND(B31=0,D31=0),0,B31/(IF(C31&gt;0,C31,0)+D31))</f>
        <v>0</v>
      </c>
      <c r="F31" s="102"/>
      <c r="G31" s="90">
        <f>IF(E31&lt;=1.05,1,0)</f>
        <v>1</v>
      </c>
      <c r="H31" s="91">
        <f>F31+G31</f>
        <v>1</v>
      </c>
      <c r="I31" s="76">
        <v>0</v>
      </c>
      <c r="J31" s="76">
        <v>856015.4</v>
      </c>
      <c r="K31" s="76">
        <v>618773.80000000005</v>
      </c>
      <c r="L31" s="76">
        <v>171521</v>
      </c>
      <c r="M31" s="76">
        <v>0</v>
      </c>
      <c r="N31" s="82">
        <f>(I31)/(J31-K31-L31)</f>
        <v>0</v>
      </c>
      <c r="O31" s="102"/>
      <c r="P31" s="90">
        <f>IF(N31&lt;=0.5,1,0)</f>
        <v>1</v>
      </c>
      <c r="Q31" s="91">
        <f>O31+P31</f>
        <v>1</v>
      </c>
      <c r="R31" s="103">
        <v>0</v>
      </c>
      <c r="S31" s="76">
        <v>956841.7</v>
      </c>
      <c r="T31" s="84">
        <v>431284.00199999998</v>
      </c>
      <c r="U31" s="82">
        <f>R31/(S31-T31)</f>
        <v>0</v>
      </c>
      <c r="V31" s="102"/>
      <c r="W31" s="90">
        <f>IF(U31&lt;=0.15,1,0)</f>
        <v>1</v>
      </c>
      <c r="X31" s="91">
        <f>V31+W31</f>
        <v>1</v>
      </c>
      <c r="Y31" s="76">
        <f>C31</f>
        <v>100826.3</v>
      </c>
      <c r="Z31" s="86"/>
      <c r="AA31" s="86">
        <v>100826.3</v>
      </c>
      <c r="AB31" s="86"/>
      <c r="AC31" s="86">
        <f t="shared" si="4"/>
        <v>856015.4</v>
      </c>
      <c r="AD31" s="86">
        <f t="shared" si="4"/>
        <v>618773.80000000005</v>
      </c>
      <c r="AE31" s="86">
        <f t="shared" si="4"/>
        <v>171521</v>
      </c>
      <c r="AF31" s="86">
        <f>AC31-AD31-AE31</f>
        <v>65720.599999999977</v>
      </c>
      <c r="AG31" s="86">
        <f>AF31*5%</f>
        <v>3286.0299999999988</v>
      </c>
      <c r="AH31" s="86">
        <f>IF(AA31&gt;0,AA31,0)+AG31+IF(AB31&gt;0,AB31,0)</f>
        <v>104112.33</v>
      </c>
      <c r="AI31" s="104">
        <f>IF((Y31-IF(Z31&gt;0,Z31,0)-IF(AA31&gt;0,AA31,0)-IF(AB31&gt;0,AB31,0))/(AC31-AD31-AE31)&gt;0,(Y31-IF(Z31&gt;0,Z31,0)-IF(AA31&gt;0,AA31,0)-IF(AB31&gt;0,AB31,0))/(AC31-AD31-AE31),0)</f>
        <v>0</v>
      </c>
      <c r="AJ31" s="89"/>
      <c r="AK31" s="106">
        <f>IF(AI31&lt;=0.05,1.5,0)</f>
        <v>1.5</v>
      </c>
      <c r="AL31" s="91">
        <f>AJ31+AK31</f>
        <v>1.5</v>
      </c>
      <c r="AM31" s="92"/>
      <c r="AN31" s="90"/>
      <c r="AO31" s="104">
        <v>0.90100000000000002</v>
      </c>
      <c r="AP31" s="89"/>
      <c r="AQ31" s="106">
        <f>IF(AO31&lt;=1.05,1,0)</f>
        <v>1</v>
      </c>
      <c r="AR31" s="107">
        <f>AP31+AQ31</f>
        <v>1</v>
      </c>
      <c r="AS31" s="92"/>
      <c r="AT31" s="90"/>
      <c r="AU31" s="104">
        <v>0.94499999999999995</v>
      </c>
      <c r="AV31" s="89"/>
      <c r="AW31" s="106">
        <f>IF(AU31&lt;=1.05,1,0)</f>
        <v>1</v>
      </c>
      <c r="AX31" s="107">
        <f>AV31+AW31</f>
        <v>1</v>
      </c>
      <c r="AY31" s="95"/>
      <c r="AZ31" s="96"/>
      <c r="BA31" s="89">
        <f>AZ31</f>
        <v>0</v>
      </c>
      <c r="BB31" s="125">
        <f t="shared" si="24"/>
        <v>6.5</v>
      </c>
      <c r="BC31" s="126">
        <v>646628</v>
      </c>
      <c r="BD31" s="108">
        <v>32919.396999999997</v>
      </c>
      <c r="BF31" s="109">
        <f t="shared" si="11"/>
        <v>0.84526550118623445</v>
      </c>
      <c r="BG31" s="8">
        <f t="shared" si="25"/>
        <v>0</v>
      </c>
      <c r="BH31" s="110">
        <f t="shared" si="26"/>
        <v>0</v>
      </c>
      <c r="BI31" s="110">
        <f t="shared" si="27"/>
        <v>0</v>
      </c>
      <c r="BJ31" s="110">
        <f t="shared" si="28"/>
        <v>1</v>
      </c>
      <c r="BK31" s="8">
        <f t="shared" si="29"/>
        <v>0</v>
      </c>
      <c r="BM31" s="109">
        <f t="shared" si="12"/>
        <v>0.48134043765702478</v>
      </c>
      <c r="BN31" s="8">
        <f t="shared" si="30"/>
        <v>0</v>
      </c>
      <c r="BO31" s="110">
        <f t="shared" si="31"/>
        <v>0</v>
      </c>
      <c r="BP31" s="110">
        <f t="shared" si="32"/>
        <v>1</v>
      </c>
      <c r="BQ31" s="110">
        <f t="shared" si="33"/>
        <v>0</v>
      </c>
      <c r="BR31" s="8">
        <f t="shared" si="34"/>
        <v>0</v>
      </c>
      <c r="BS31" s="109">
        <f t="shared" si="35"/>
        <v>0.7553929520426852</v>
      </c>
    </row>
    <row r="32" spans="1:71" s="8" customFormat="1" ht="13" x14ac:dyDescent="0.3">
      <c r="A32" s="105" t="s">
        <v>99</v>
      </c>
      <c r="B32" s="76">
        <v>0</v>
      </c>
      <c r="C32" s="76">
        <v>55900</v>
      </c>
      <c r="D32" s="76">
        <v>0</v>
      </c>
      <c r="E32" s="82">
        <f>IF(AND(B32=0,D32=0),0,B32/(IF(C32&gt;0,C32,0)+D32))</f>
        <v>0</v>
      </c>
      <c r="F32" s="102">
        <f>IF(E32&lt;=1.05,1,0)</f>
        <v>1</v>
      </c>
      <c r="G32" s="90"/>
      <c r="H32" s="91">
        <f>F32+G32</f>
        <v>1</v>
      </c>
      <c r="I32" s="76">
        <v>0</v>
      </c>
      <c r="J32" s="76">
        <v>1189404.2</v>
      </c>
      <c r="K32" s="76">
        <v>884866.3</v>
      </c>
      <c r="L32" s="76">
        <v>227345.3</v>
      </c>
      <c r="M32" s="76">
        <v>0</v>
      </c>
      <c r="N32" s="82">
        <f>(I32)/(J32-K32-L32)</f>
        <v>0</v>
      </c>
      <c r="O32" s="102">
        <f>IF(N32&lt;=1,1,0)</f>
        <v>1</v>
      </c>
      <c r="P32" s="90"/>
      <c r="Q32" s="91">
        <f>O32+P32</f>
        <v>1</v>
      </c>
      <c r="R32" s="103">
        <v>0</v>
      </c>
      <c r="S32" s="76">
        <v>1245304.2</v>
      </c>
      <c r="T32" s="84">
        <v>431950.272</v>
      </c>
      <c r="U32" s="82">
        <f>R32/(S32-T32)</f>
        <v>0</v>
      </c>
      <c r="V32" s="102">
        <f>IF(U32&lt;=0.15,1,0)</f>
        <v>1</v>
      </c>
      <c r="W32" s="90"/>
      <c r="X32" s="91">
        <f>V32+W32</f>
        <v>1</v>
      </c>
      <c r="Y32" s="76">
        <f>C32</f>
        <v>55900</v>
      </c>
      <c r="Z32" s="86"/>
      <c r="AA32" s="86">
        <v>55900</v>
      </c>
      <c r="AB32" s="86"/>
      <c r="AC32" s="86">
        <f t="shared" si="4"/>
        <v>1189404.2</v>
      </c>
      <c r="AD32" s="86">
        <f t="shared" si="4"/>
        <v>884866.3</v>
      </c>
      <c r="AE32" s="86">
        <f t="shared" si="4"/>
        <v>227345.3</v>
      </c>
      <c r="AF32" s="86">
        <f>AC32-AD32-AE32</f>
        <v>77192.599999999919</v>
      </c>
      <c r="AG32" s="86">
        <f>AF32*10%</f>
        <v>7719.259999999992</v>
      </c>
      <c r="AH32" s="86">
        <f>IF(AA32&gt;0,AA32,0)+AG32+IF(AB32&gt;0,AB32,0)</f>
        <v>63619.259999999995</v>
      </c>
      <c r="AI32" s="104">
        <f>IF((Y32-IF(Z32&gt;0,Z32,0)-IF(AA32&gt;0,AA32,0)-IF(AB32&gt;0,AB32,0))/(AC32-AD32-AE32)&gt;0,(Y32-IF(Z32&gt;0,Z32,0)-IF(AA32&gt;0,AA32,0)-IF(AB32&gt;0,AB32,0))/(AC32-AD32-AE32),0)</f>
        <v>0</v>
      </c>
      <c r="AJ32" s="89">
        <f>IF(AI32&lt;=0.1,1.5,0)</f>
        <v>1.5</v>
      </c>
      <c r="AK32" s="90"/>
      <c r="AL32" s="91">
        <f>AJ32+AK32</f>
        <v>1.5</v>
      </c>
      <c r="AM32" s="92"/>
      <c r="AN32" s="90"/>
      <c r="AO32" s="104">
        <v>0.997</v>
      </c>
      <c r="AP32" s="89">
        <f>IF(AO32&lt;=1.05,1,0)</f>
        <v>1</v>
      </c>
      <c r="AQ32" s="90"/>
      <c r="AR32" s="107">
        <f>AP32+AQ32</f>
        <v>1</v>
      </c>
      <c r="AS32" s="92"/>
      <c r="AT32" s="90"/>
      <c r="AU32" s="104">
        <v>0.98</v>
      </c>
      <c r="AV32" s="89">
        <f>IF(AU32&lt;=1.05,1,0)</f>
        <v>1</v>
      </c>
      <c r="AW32" s="90"/>
      <c r="AX32" s="107">
        <f>AV32+AW32</f>
        <v>1</v>
      </c>
      <c r="AY32" s="95"/>
      <c r="AZ32" s="96"/>
      <c r="BA32" s="89">
        <f>AZ32</f>
        <v>0</v>
      </c>
      <c r="BB32" s="125">
        <f t="shared" si="24"/>
        <v>6.5</v>
      </c>
      <c r="BC32" s="126">
        <v>736385.92</v>
      </c>
      <c r="BD32" s="108">
        <v>65081.662590000007</v>
      </c>
      <c r="BF32" s="109">
        <f t="shared" si="11"/>
        <v>0.8980893792394461</v>
      </c>
      <c r="BG32" s="8">
        <f t="shared" si="25"/>
        <v>0</v>
      </c>
      <c r="BH32" s="110">
        <f t="shared" si="26"/>
        <v>0</v>
      </c>
      <c r="BI32" s="110">
        <f t="shared" si="27"/>
        <v>0</v>
      </c>
      <c r="BJ32" s="110">
        <f t="shared" si="28"/>
        <v>1</v>
      </c>
      <c r="BK32" s="8">
        <f t="shared" si="29"/>
        <v>0</v>
      </c>
      <c r="BM32" s="109">
        <f t="shared" si="12"/>
        <v>0.38606567578589418</v>
      </c>
      <c r="BN32" s="8">
        <f t="shared" si="30"/>
        <v>0</v>
      </c>
      <c r="BO32" s="110">
        <f t="shared" si="31"/>
        <v>0</v>
      </c>
      <c r="BP32" s="110">
        <f t="shared" si="32"/>
        <v>1</v>
      </c>
      <c r="BQ32" s="110">
        <f t="shared" si="33"/>
        <v>0</v>
      </c>
      <c r="BR32" s="8">
        <f t="shared" si="34"/>
        <v>0</v>
      </c>
      <c r="BS32" s="109">
        <f t="shared" si="35"/>
        <v>0.61912167453250966</v>
      </c>
    </row>
    <row r="33" spans="1:71" s="8" customFormat="1" ht="13" x14ac:dyDescent="0.3">
      <c r="A33" s="105" t="s">
        <v>100</v>
      </c>
      <c r="B33" s="76">
        <v>0</v>
      </c>
      <c r="C33" s="76">
        <v>49087.9</v>
      </c>
      <c r="D33" s="76">
        <v>0</v>
      </c>
      <c r="E33" s="82">
        <f>IF(AND(B33=0,D33=0),0,B33/(IF(C33&gt;0,C33,0)+D33))</f>
        <v>0</v>
      </c>
      <c r="F33" s="102">
        <f>IF(E33&lt;=1.05,1,0)</f>
        <v>1</v>
      </c>
      <c r="G33" s="90"/>
      <c r="H33" s="91">
        <f>F33+G33</f>
        <v>1</v>
      </c>
      <c r="I33" s="76">
        <v>0</v>
      </c>
      <c r="J33" s="76">
        <v>1602301.5</v>
      </c>
      <c r="K33" s="76">
        <v>1237416.7</v>
      </c>
      <c r="L33" s="76">
        <v>238665.4</v>
      </c>
      <c r="M33" s="76">
        <v>0</v>
      </c>
      <c r="N33" s="82">
        <f>(I33)/(J33-K33-L33)</f>
        <v>0</v>
      </c>
      <c r="O33" s="102">
        <f>IF(N33&lt;=1,1,0)</f>
        <v>1</v>
      </c>
      <c r="P33" s="90"/>
      <c r="Q33" s="91">
        <f>O33+P33</f>
        <v>1</v>
      </c>
      <c r="R33" s="103">
        <v>0</v>
      </c>
      <c r="S33" s="76">
        <v>1651389.3</v>
      </c>
      <c r="T33" s="84">
        <v>681685.78</v>
      </c>
      <c r="U33" s="82">
        <f>R33/(S33-T33)</f>
        <v>0</v>
      </c>
      <c r="V33" s="102">
        <f>IF(U33&lt;=0.15,1,0)</f>
        <v>1</v>
      </c>
      <c r="W33" s="90"/>
      <c r="X33" s="91">
        <f>V33+W33</f>
        <v>1</v>
      </c>
      <c r="Y33" s="76">
        <f>C33</f>
        <v>49087.9</v>
      </c>
      <c r="Z33" s="86"/>
      <c r="AA33" s="86">
        <v>49087.9</v>
      </c>
      <c r="AB33" s="86"/>
      <c r="AC33" s="86">
        <f t="shared" si="4"/>
        <v>1602301.5</v>
      </c>
      <c r="AD33" s="86">
        <f t="shared" si="4"/>
        <v>1237416.7</v>
      </c>
      <c r="AE33" s="86">
        <f t="shared" si="4"/>
        <v>238665.4</v>
      </c>
      <c r="AF33" s="86">
        <f>AC33-AD33-AE33</f>
        <v>126219.40000000005</v>
      </c>
      <c r="AG33" s="86">
        <f>AF33*10%</f>
        <v>12621.940000000006</v>
      </c>
      <c r="AH33" s="86">
        <f>IF(AA33&gt;0,AA33,0)+AG33+IF(AB33&gt;0,AB33,0)</f>
        <v>61709.840000000011</v>
      </c>
      <c r="AI33" s="104">
        <f>IF((Y33-IF(Z33&gt;0,Z33,0)-IF(AA33&gt;0,AA33,0)-IF(AB33&gt;0,AB33,0))/(AC33-AD33-AE33)&gt;0,(Y33-IF(Z33&gt;0,Z33,0)-IF(AA33&gt;0,AA33,0)-IF(AB33&gt;0,AB33,0))/(AC33-AD33-AE33),0)</f>
        <v>0</v>
      </c>
      <c r="AJ33" s="89">
        <f>IF(AI33&lt;=0.1,1.5,0)</f>
        <v>1.5</v>
      </c>
      <c r="AK33" s="90"/>
      <c r="AL33" s="91">
        <f>AJ33+AK33</f>
        <v>1.5</v>
      </c>
      <c r="AM33" s="92"/>
      <c r="AN33" s="90"/>
      <c r="AO33" s="104">
        <v>0.83299999999999996</v>
      </c>
      <c r="AP33" s="89">
        <f>IF(AO33&lt;=1.05,1,0)</f>
        <v>1</v>
      </c>
      <c r="AQ33" s="90"/>
      <c r="AR33" s="107">
        <f>AP33+AQ33</f>
        <v>1</v>
      </c>
      <c r="AS33" s="92"/>
      <c r="AT33" s="90"/>
      <c r="AU33" s="104">
        <v>0.94499999999999995</v>
      </c>
      <c r="AV33" s="89">
        <f>IF(AU33&lt;=1.05,1,0)</f>
        <v>1</v>
      </c>
      <c r="AW33" s="90"/>
      <c r="AX33" s="107">
        <f>AV33+AW33</f>
        <v>1</v>
      </c>
      <c r="AY33" s="95"/>
      <c r="AZ33" s="96"/>
      <c r="BA33" s="89">
        <f>AZ33</f>
        <v>0</v>
      </c>
      <c r="BB33" s="125">
        <f t="shared" si="24"/>
        <v>6.5</v>
      </c>
      <c r="BC33" s="126">
        <v>1081382.75</v>
      </c>
      <c r="BD33" s="108">
        <v>83110.524000000005</v>
      </c>
      <c r="BF33" s="109">
        <f t="shared" si="11"/>
        <v>0.86289675783507136</v>
      </c>
      <c r="BG33" s="8">
        <f t="shared" si="25"/>
        <v>0</v>
      </c>
      <c r="BH33" s="110">
        <f t="shared" si="26"/>
        <v>0</v>
      </c>
      <c r="BI33" s="110">
        <f t="shared" si="27"/>
        <v>0</v>
      </c>
      <c r="BJ33" s="110">
        <f t="shared" si="28"/>
        <v>1</v>
      </c>
      <c r="BK33" s="8">
        <f t="shared" si="29"/>
        <v>0</v>
      </c>
      <c r="BM33" s="109">
        <f t="shared" si="12"/>
        <v>0.34952251738651607</v>
      </c>
      <c r="BN33" s="8">
        <f t="shared" si="30"/>
        <v>0</v>
      </c>
      <c r="BO33" s="110">
        <f t="shared" si="31"/>
        <v>0</v>
      </c>
      <c r="BP33" s="110">
        <f t="shared" si="32"/>
        <v>1</v>
      </c>
      <c r="BQ33" s="110">
        <f t="shared" si="33"/>
        <v>0</v>
      </c>
      <c r="BR33" s="8">
        <f t="shared" si="34"/>
        <v>0</v>
      </c>
      <c r="BS33" s="109">
        <f t="shared" si="35"/>
        <v>0.67489342673647879</v>
      </c>
    </row>
    <row r="34" spans="1:71" s="8" customFormat="1" ht="13" x14ac:dyDescent="0.3">
      <c r="A34" s="105" t="s">
        <v>101</v>
      </c>
      <c r="B34" s="76">
        <v>0</v>
      </c>
      <c r="C34" s="76">
        <v>17261</v>
      </c>
      <c r="D34" s="76">
        <v>0</v>
      </c>
      <c r="E34" s="82">
        <f t="shared" si="13"/>
        <v>0</v>
      </c>
      <c r="F34" s="102"/>
      <c r="G34" s="90">
        <f>IF(E34&lt;=1.05,1,0)</f>
        <v>1</v>
      </c>
      <c r="H34" s="91">
        <f t="shared" si="0"/>
        <v>1</v>
      </c>
      <c r="I34" s="76">
        <v>0</v>
      </c>
      <c r="J34" s="76">
        <v>305665.3</v>
      </c>
      <c r="K34" s="76">
        <v>243506.9</v>
      </c>
      <c r="L34" s="76">
        <v>41751.599999999999</v>
      </c>
      <c r="M34" s="76">
        <v>0</v>
      </c>
      <c r="N34" s="82">
        <f t="shared" si="15"/>
        <v>0</v>
      </c>
      <c r="O34" s="102"/>
      <c r="P34" s="90">
        <f>IF(N34&lt;=0.5,1,0)</f>
        <v>1</v>
      </c>
      <c r="Q34" s="91">
        <f t="shared" si="2"/>
        <v>1</v>
      </c>
      <c r="R34" s="103">
        <v>0</v>
      </c>
      <c r="S34" s="76">
        <v>322926.2</v>
      </c>
      <c r="T34" s="84">
        <v>132227.519</v>
      </c>
      <c r="U34" s="82">
        <f t="shared" si="16"/>
        <v>0</v>
      </c>
      <c r="V34" s="102"/>
      <c r="W34" s="90">
        <f>IF(U34&lt;=0.15,1,0)</f>
        <v>1</v>
      </c>
      <c r="X34" s="91">
        <f t="shared" si="17"/>
        <v>1</v>
      </c>
      <c r="Y34" s="76">
        <f t="shared" si="18"/>
        <v>17261</v>
      </c>
      <c r="Z34" s="86"/>
      <c r="AA34" s="86">
        <v>17261</v>
      </c>
      <c r="AB34" s="86"/>
      <c r="AC34" s="86">
        <f t="shared" si="4"/>
        <v>305665.3</v>
      </c>
      <c r="AD34" s="86">
        <f t="shared" si="4"/>
        <v>243506.9</v>
      </c>
      <c r="AE34" s="86">
        <f t="shared" si="4"/>
        <v>41751.599999999999</v>
      </c>
      <c r="AF34" s="86">
        <f t="shared" si="19"/>
        <v>20406.799999999996</v>
      </c>
      <c r="AG34" s="86">
        <f>AF34*5%</f>
        <v>1020.3399999999998</v>
      </c>
      <c r="AH34" s="86">
        <f t="shared" si="6"/>
        <v>18281.34</v>
      </c>
      <c r="AI34" s="104">
        <f t="shared" si="7"/>
        <v>0</v>
      </c>
      <c r="AJ34" s="89"/>
      <c r="AK34" s="106">
        <f>IF(AI34&lt;=0.05,1.5,0)</f>
        <v>1.5</v>
      </c>
      <c r="AL34" s="91">
        <f t="shared" si="8"/>
        <v>1.5</v>
      </c>
      <c r="AM34" s="92"/>
      <c r="AN34" s="90"/>
      <c r="AO34" s="104">
        <v>0.71</v>
      </c>
      <c r="AP34" s="89"/>
      <c r="AQ34" s="106">
        <f>IF(AO34&lt;=1.05,1,0)</f>
        <v>1</v>
      </c>
      <c r="AR34" s="107">
        <f t="shared" ref="AR34:AR40" si="42">AP34+AQ34</f>
        <v>1</v>
      </c>
      <c r="AS34" s="92"/>
      <c r="AT34" s="90"/>
      <c r="AU34" s="104">
        <v>0.82299999999999995</v>
      </c>
      <c r="AV34" s="89"/>
      <c r="AW34" s="106">
        <f>IF(AU34&lt;=1.05,1,0)</f>
        <v>1</v>
      </c>
      <c r="AX34" s="107">
        <f t="shared" ref="AX34:AX40" si="43">AV34+AW34</f>
        <v>1</v>
      </c>
      <c r="AY34" s="95"/>
      <c r="AZ34" s="96"/>
      <c r="BA34" s="89">
        <f t="shared" si="23"/>
        <v>0</v>
      </c>
      <c r="BB34" s="125">
        <f t="shared" si="24"/>
        <v>6.5</v>
      </c>
      <c r="BC34" s="126">
        <v>197211.78</v>
      </c>
      <c r="BD34" s="108">
        <v>14925.824000000001</v>
      </c>
      <c r="BF34" s="109">
        <f t="shared" si="11"/>
        <v>0.88233936180260519</v>
      </c>
      <c r="BG34" s="8">
        <f t="shared" si="25"/>
        <v>0</v>
      </c>
      <c r="BH34" s="110">
        <f t="shared" si="26"/>
        <v>0</v>
      </c>
      <c r="BI34" s="110">
        <f t="shared" si="27"/>
        <v>0</v>
      </c>
      <c r="BJ34" s="110">
        <f t="shared" si="28"/>
        <v>1</v>
      </c>
      <c r="BK34" s="8">
        <f t="shared" si="29"/>
        <v>0</v>
      </c>
      <c r="BM34" s="109">
        <f t="shared" si="12"/>
        <v>0.32678822153519138</v>
      </c>
      <c r="BN34" s="8">
        <f t="shared" si="30"/>
        <v>0</v>
      </c>
      <c r="BO34" s="110">
        <f t="shared" si="31"/>
        <v>0</v>
      </c>
      <c r="BP34" s="110">
        <f t="shared" si="32"/>
        <v>1</v>
      </c>
      <c r="BQ34" s="110">
        <f t="shared" si="33"/>
        <v>0</v>
      </c>
      <c r="BR34" s="8">
        <f t="shared" si="34"/>
        <v>0</v>
      </c>
      <c r="BS34" s="109">
        <f t="shared" si="35"/>
        <v>0.64518864261007058</v>
      </c>
    </row>
    <row r="35" spans="1:71" s="8" customFormat="1" ht="13" x14ac:dyDescent="0.3">
      <c r="A35" s="105" t="s">
        <v>102</v>
      </c>
      <c r="B35" s="76">
        <v>0</v>
      </c>
      <c r="C35" s="76">
        <v>19392.2</v>
      </c>
      <c r="D35" s="76">
        <v>0</v>
      </c>
      <c r="E35" s="82">
        <f>IF(AND(B35=0,D35=0),0,B35/(IF(C35&gt;0,C35,0)+D35))</f>
        <v>0</v>
      </c>
      <c r="F35" s="102">
        <f t="shared" ref="F35:F40" si="44">IF(E35&lt;=1.05,1,0)</f>
        <v>1</v>
      </c>
      <c r="G35" s="90"/>
      <c r="H35" s="91">
        <f>F35+G35</f>
        <v>1</v>
      </c>
      <c r="I35" s="76">
        <v>0</v>
      </c>
      <c r="J35" s="76">
        <v>1048094.4</v>
      </c>
      <c r="K35" s="76">
        <v>877360.5</v>
      </c>
      <c r="L35" s="76">
        <v>88800.1</v>
      </c>
      <c r="M35" s="76">
        <v>0</v>
      </c>
      <c r="N35" s="82">
        <f>(I35)/(J35-K35-L35)</f>
        <v>0</v>
      </c>
      <c r="O35" s="102">
        <f t="shared" ref="O35:O40" si="45">IF(N35&lt;=1,1,0)</f>
        <v>1</v>
      </c>
      <c r="P35" s="90"/>
      <c r="Q35" s="91">
        <f>O35+P35</f>
        <v>1</v>
      </c>
      <c r="R35" s="103">
        <v>0</v>
      </c>
      <c r="S35" s="76">
        <v>1067486.6000000001</v>
      </c>
      <c r="T35" s="84">
        <v>251829.49900000001</v>
      </c>
      <c r="U35" s="82">
        <f>R35/(S35-T35)</f>
        <v>0</v>
      </c>
      <c r="V35" s="102">
        <f t="shared" ref="V35:V40" si="46">IF(U35&lt;=0.15,1,0)</f>
        <v>1</v>
      </c>
      <c r="W35" s="90"/>
      <c r="X35" s="91">
        <f>V35+W35</f>
        <v>1</v>
      </c>
      <c r="Y35" s="76">
        <f>C35</f>
        <v>19392.2</v>
      </c>
      <c r="Z35" s="86"/>
      <c r="AA35" s="86">
        <v>19392.2</v>
      </c>
      <c r="AB35" s="86"/>
      <c r="AC35" s="86">
        <f>J35</f>
        <v>1048094.4</v>
      </c>
      <c r="AD35" s="86">
        <f>K35</f>
        <v>877360.5</v>
      </c>
      <c r="AE35" s="86">
        <f>L35</f>
        <v>88800.1</v>
      </c>
      <c r="AF35" s="86">
        <f>AC35-AD35-AE35</f>
        <v>81933.800000000017</v>
      </c>
      <c r="AG35" s="86">
        <f>AF35*10%</f>
        <v>8193.3800000000028</v>
      </c>
      <c r="AH35" s="86">
        <f>IF(AA35&gt;0,AA35,0)+AG35+IF(AB35&gt;0,AB35,0)</f>
        <v>27585.58</v>
      </c>
      <c r="AI35" s="104">
        <f>IF((Y35-IF(Z35&gt;0,Z35,0)-IF(AA35&gt;0,AA35,0)-IF(AB35&gt;0,AB35,0))/(AC35-AD35-AE35)&gt;0,(Y35-IF(Z35&gt;0,Z35,0)-IF(AA35&gt;0,AA35,0)-IF(AB35&gt;0,AB35,0))/(AC35-AD35-AE35),0)</f>
        <v>0</v>
      </c>
      <c r="AJ35" s="89">
        <f t="shared" ref="AJ35:AJ40" si="47">IF(AI35&lt;=0.1,1.5,0)</f>
        <v>1.5</v>
      </c>
      <c r="AK35" s="90"/>
      <c r="AL35" s="91">
        <f>AJ35+AK35</f>
        <v>1.5</v>
      </c>
      <c r="AM35" s="92"/>
      <c r="AN35" s="90"/>
      <c r="AO35" s="104">
        <v>0.96399999999999997</v>
      </c>
      <c r="AP35" s="89">
        <f t="shared" ref="AP35:AP40" si="48">IF(AO35&lt;=1.05,1,0)</f>
        <v>1</v>
      </c>
      <c r="AQ35" s="90"/>
      <c r="AR35" s="107">
        <f>AP35+AQ35</f>
        <v>1</v>
      </c>
      <c r="AS35" s="92"/>
      <c r="AT35" s="90"/>
      <c r="AU35" s="104">
        <v>0.97699999999999998</v>
      </c>
      <c r="AV35" s="89">
        <f t="shared" ref="AV35:AV40" si="49">IF(AU35&lt;=1.05,1,0)</f>
        <v>1</v>
      </c>
      <c r="AW35" s="90"/>
      <c r="AX35" s="107">
        <f>AV35+AW35</f>
        <v>1</v>
      </c>
      <c r="AY35" s="95"/>
      <c r="AZ35" s="96"/>
      <c r="BA35" s="89">
        <f>AZ35</f>
        <v>0</v>
      </c>
      <c r="BB35" s="125">
        <f t="shared" si="24"/>
        <v>6.5</v>
      </c>
      <c r="BC35" s="126">
        <v>464562.43</v>
      </c>
      <c r="BD35" s="108">
        <v>56325.591999999997</v>
      </c>
      <c r="BF35" s="109">
        <f t="shared" si="11"/>
        <v>0.8971023337872831</v>
      </c>
      <c r="BG35" s="8">
        <f t="shared" si="25"/>
        <v>0</v>
      </c>
      <c r="BH35" s="110">
        <f t="shared" si="26"/>
        <v>0</v>
      </c>
      <c r="BI35" s="110">
        <f t="shared" si="27"/>
        <v>0</v>
      </c>
      <c r="BJ35" s="110">
        <f t="shared" si="28"/>
        <v>1</v>
      </c>
      <c r="BK35" s="8">
        <f t="shared" si="29"/>
        <v>0</v>
      </c>
      <c r="BM35" s="109">
        <f t="shared" si="12"/>
        <v>0.18225805484800592</v>
      </c>
      <c r="BN35" s="8">
        <f t="shared" si="30"/>
        <v>0</v>
      </c>
      <c r="BO35" s="110">
        <f t="shared" si="31"/>
        <v>1</v>
      </c>
      <c r="BP35" s="110">
        <f t="shared" si="32"/>
        <v>0</v>
      </c>
      <c r="BQ35" s="110">
        <f t="shared" si="33"/>
        <v>0</v>
      </c>
      <c r="BR35" s="8">
        <f t="shared" si="34"/>
        <v>0</v>
      </c>
      <c r="BS35" s="109">
        <f t="shared" si="35"/>
        <v>0.44324483557969585</v>
      </c>
    </row>
    <row r="36" spans="1:71" s="8" customFormat="1" ht="13" x14ac:dyDescent="0.3">
      <c r="A36" s="105" t="s">
        <v>103</v>
      </c>
      <c r="B36" s="76">
        <v>0</v>
      </c>
      <c r="C36" s="76">
        <v>20379.599999999999</v>
      </c>
      <c r="D36" s="76">
        <v>6990.9</v>
      </c>
      <c r="E36" s="82">
        <f t="shared" si="13"/>
        <v>0</v>
      </c>
      <c r="F36" s="102">
        <f t="shared" si="44"/>
        <v>1</v>
      </c>
      <c r="G36" s="90"/>
      <c r="H36" s="91">
        <f t="shared" si="0"/>
        <v>1</v>
      </c>
      <c r="I36" s="76">
        <v>13981.9</v>
      </c>
      <c r="J36" s="76">
        <v>1827321.5</v>
      </c>
      <c r="K36" s="76">
        <v>1261094.8</v>
      </c>
      <c r="L36" s="76">
        <v>225765.7</v>
      </c>
      <c r="M36" s="76">
        <v>0</v>
      </c>
      <c r="N36" s="82">
        <f t="shared" si="15"/>
        <v>4.1067552524371373E-2</v>
      </c>
      <c r="O36" s="102">
        <f t="shared" si="45"/>
        <v>1</v>
      </c>
      <c r="P36" s="90"/>
      <c r="Q36" s="91">
        <f t="shared" si="2"/>
        <v>1</v>
      </c>
      <c r="R36" s="103">
        <v>20.3</v>
      </c>
      <c r="S36" s="76">
        <v>1841860</v>
      </c>
      <c r="T36" s="84">
        <v>542965.83499999996</v>
      </c>
      <c r="U36" s="82">
        <f t="shared" si="16"/>
        <v>1.5628679030981712E-5</v>
      </c>
      <c r="V36" s="102">
        <f t="shared" si="46"/>
        <v>1</v>
      </c>
      <c r="W36" s="90"/>
      <c r="X36" s="91">
        <f t="shared" si="17"/>
        <v>1</v>
      </c>
      <c r="Y36" s="76">
        <f t="shared" si="18"/>
        <v>20379.599999999999</v>
      </c>
      <c r="Z36" s="86"/>
      <c r="AA36" s="86">
        <v>27370.5</v>
      </c>
      <c r="AB36" s="86"/>
      <c r="AC36" s="86">
        <f t="shared" si="4"/>
        <v>1827321.5</v>
      </c>
      <c r="AD36" s="86">
        <f t="shared" si="4"/>
        <v>1261094.8</v>
      </c>
      <c r="AE36" s="86">
        <f t="shared" si="4"/>
        <v>225765.7</v>
      </c>
      <c r="AF36" s="86">
        <f t="shared" si="19"/>
        <v>340460.99999999994</v>
      </c>
      <c r="AG36" s="86">
        <f>AF36*5%</f>
        <v>17023.05</v>
      </c>
      <c r="AH36" s="86">
        <f t="shared" si="6"/>
        <v>44393.55</v>
      </c>
      <c r="AI36" s="104">
        <f t="shared" si="7"/>
        <v>0</v>
      </c>
      <c r="AJ36" s="89">
        <f t="shared" si="47"/>
        <v>1.5</v>
      </c>
      <c r="AK36" s="106"/>
      <c r="AL36" s="91">
        <f t="shared" si="8"/>
        <v>1.5</v>
      </c>
      <c r="AM36" s="92"/>
      <c r="AN36" s="90"/>
      <c r="AO36" s="104">
        <v>0.84699999999999998</v>
      </c>
      <c r="AP36" s="89">
        <f t="shared" si="48"/>
        <v>1</v>
      </c>
      <c r="AQ36" s="106"/>
      <c r="AR36" s="107">
        <f t="shared" ref="AR36:AR40" si="50">AP36+AQ36</f>
        <v>1</v>
      </c>
      <c r="AS36" s="92"/>
      <c r="AT36" s="90"/>
      <c r="AU36" s="104">
        <v>0.82399999999999995</v>
      </c>
      <c r="AV36" s="89">
        <f t="shared" si="49"/>
        <v>1</v>
      </c>
      <c r="AW36" s="106"/>
      <c r="AX36" s="107">
        <f t="shared" ref="AX36:AX40" si="51">AV36+AW36</f>
        <v>1</v>
      </c>
      <c r="AY36" s="95"/>
      <c r="AZ36" s="96"/>
      <c r="BA36" s="89">
        <f t="shared" si="23"/>
        <v>0</v>
      </c>
      <c r="BB36" s="125">
        <f t="shared" si="24"/>
        <v>6.5</v>
      </c>
      <c r="BC36" s="126">
        <v>1048238.75</v>
      </c>
      <c r="BD36" s="108">
        <v>19553.02</v>
      </c>
      <c r="BF36" s="109">
        <f t="shared" si="11"/>
        <v>0.73491688534733091</v>
      </c>
      <c r="BG36" s="8">
        <f t="shared" si="25"/>
        <v>0</v>
      </c>
      <c r="BH36" s="110">
        <f t="shared" si="26"/>
        <v>0</v>
      </c>
      <c r="BI36" s="110">
        <f t="shared" si="27"/>
        <v>0</v>
      </c>
      <c r="BJ36" s="110">
        <f t="shared" si="28"/>
        <v>1</v>
      </c>
      <c r="BK36" s="8">
        <f t="shared" si="29"/>
        <v>0</v>
      </c>
      <c r="BM36" s="109">
        <f t="shared" si="12"/>
        <v>0.19100528512871082</v>
      </c>
      <c r="BN36" s="8">
        <f t="shared" si="30"/>
        <v>0</v>
      </c>
      <c r="BO36" s="110">
        <f t="shared" si="31"/>
        <v>1</v>
      </c>
      <c r="BP36" s="110">
        <f t="shared" si="32"/>
        <v>0</v>
      </c>
      <c r="BQ36" s="110">
        <f t="shared" si="33"/>
        <v>0</v>
      </c>
      <c r="BR36" s="8">
        <f t="shared" si="34"/>
        <v>0</v>
      </c>
      <c r="BS36" s="109">
        <f t="shared" si="35"/>
        <v>0.57364768597096893</v>
      </c>
    </row>
    <row r="37" spans="1:71" s="8" customFormat="1" ht="13" x14ac:dyDescent="0.3">
      <c r="A37" s="105" t="s">
        <v>104</v>
      </c>
      <c r="B37" s="76">
        <v>0</v>
      </c>
      <c r="C37" s="76">
        <v>14605.5</v>
      </c>
      <c r="D37" s="76">
        <v>0</v>
      </c>
      <c r="E37" s="82">
        <f>IF(AND(B37=0,D37=0),0,B37/(IF(C37&gt;0,C37,0)+D37))</f>
        <v>0</v>
      </c>
      <c r="F37" s="102"/>
      <c r="G37" s="90">
        <f>IF(E37&lt;=1.05,1,0)</f>
        <v>1</v>
      </c>
      <c r="H37" s="91">
        <f>F37+G37</f>
        <v>1</v>
      </c>
      <c r="I37" s="76">
        <v>0</v>
      </c>
      <c r="J37" s="76">
        <v>745531.7</v>
      </c>
      <c r="K37" s="76">
        <v>580039</v>
      </c>
      <c r="L37" s="76">
        <v>122102.2</v>
      </c>
      <c r="M37" s="76">
        <v>0</v>
      </c>
      <c r="N37" s="82">
        <f>(I37)/(J37-K37-L37)</f>
        <v>0</v>
      </c>
      <c r="O37" s="102"/>
      <c r="P37" s="90">
        <f>IF(N37&lt;=0.5,1,0)</f>
        <v>1</v>
      </c>
      <c r="Q37" s="91">
        <f>O37+P37</f>
        <v>1</v>
      </c>
      <c r="R37" s="103">
        <v>0</v>
      </c>
      <c r="S37" s="76">
        <v>760137.1</v>
      </c>
      <c r="T37" s="84">
        <v>192754.136</v>
      </c>
      <c r="U37" s="82">
        <f>R37/(S37-T37)</f>
        <v>0</v>
      </c>
      <c r="V37" s="102"/>
      <c r="W37" s="90">
        <f>IF(U37&lt;=0.15,1,0)</f>
        <v>1</v>
      </c>
      <c r="X37" s="91">
        <f>V37+W37</f>
        <v>1</v>
      </c>
      <c r="Y37" s="76">
        <f>C37</f>
        <v>14605.5</v>
      </c>
      <c r="Z37" s="86"/>
      <c r="AA37" s="86">
        <v>14605.5</v>
      </c>
      <c r="AB37" s="86"/>
      <c r="AC37" s="86">
        <f>J37</f>
        <v>745531.7</v>
      </c>
      <c r="AD37" s="86">
        <f>K37</f>
        <v>580039</v>
      </c>
      <c r="AE37" s="86">
        <f>L37</f>
        <v>122102.2</v>
      </c>
      <c r="AF37" s="86">
        <f>AC37-AD37-AE37</f>
        <v>43390.499999999956</v>
      </c>
      <c r="AG37" s="86">
        <f>AF37*5%</f>
        <v>2169.5249999999978</v>
      </c>
      <c r="AH37" s="86">
        <f>IF(AA37&gt;0,AA37,0)+AG37+IF(AB37&gt;0,AB37,0)</f>
        <v>16775.024999999998</v>
      </c>
      <c r="AI37" s="104">
        <f>IF((Y37-IF(Z37&gt;0,Z37,0)-IF(AA37&gt;0,AA37,0)-IF(AB37&gt;0,AB37,0))/(AC37-AD37-AE37)&gt;0,(Y37-IF(Z37&gt;0,Z37,0)-IF(AA37&gt;0,AA37,0)-IF(AB37&gt;0,AB37,0))/(AC37-AD37-AE37),0)</f>
        <v>0</v>
      </c>
      <c r="AJ37" s="89"/>
      <c r="AK37" s="106">
        <f>IF(AI37&lt;=0.05,1.5,0)</f>
        <v>1.5</v>
      </c>
      <c r="AL37" s="91">
        <f>AJ37+AK37</f>
        <v>1.5</v>
      </c>
      <c r="AM37" s="92"/>
      <c r="AN37" s="90"/>
      <c r="AO37" s="104">
        <v>0.95199999999999996</v>
      </c>
      <c r="AP37" s="89"/>
      <c r="AQ37" s="106">
        <f>IF(AO37&lt;=1.05,1,0)</f>
        <v>1</v>
      </c>
      <c r="AR37" s="107">
        <f>AP37+AQ37</f>
        <v>1</v>
      </c>
      <c r="AS37" s="92"/>
      <c r="AT37" s="90"/>
      <c r="AU37" s="104">
        <v>0.95599999999999996</v>
      </c>
      <c r="AV37" s="89"/>
      <c r="AW37" s="106">
        <f>IF(AU37&lt;=1.05,1,0)</f>
        <v>1</v>
      </c>
      <c r="AX37" s="107">
        <f>AV37+AW37</f>
        <v>1</v>
      </c>
      <c r="AY37" s="95"/>
      <c r="AZ37" s="96"/>
      <c r="BA37" s="89">
        <f>AZ37</f>
        <v>0</v>
      </c>
      <c r="BB37" s="125">
        <f t="shared" si="24"/>
        <v>6.5</v>
      </c>
      <c r="BC37" s="126">
        <v>525665.42000000004</v>
      </c>
      <c r="BD37" s="108">
        <v>49196.446000000004</v>
      </c>
      <c r="BF37" s="109">
        <f t="shared" si="11"/>
        <v>0.92150459275876095</v>
      </c>
      <c r="BG37" s="8">
        <f t="shared" si="25"/>
        <v>0</v>
      </c>
      <c r="BH37" s="110">
        <f t="shared" si="26"/>
        <v>0</v>
      </c>
      <c r="BI37" s="110">
        <f t="shared" si="27"/>
        <v>0</v>
      </c>
      <c r="BJ37" s="110">
        <f t="shared" si="28"/>
        <v>0</v>
      </c>
      <c r="BK37" s="8">
        <f t="shared" si="29"/>
        <v>1</v>
      </c>
      <c r="BM37" s="109">
        <f t="shared" si="12"/>
        <v>0.30988711763272653</v>
      </c>
      <c r="BN37" s="8">
        <f t="shared" si="30"/>
        <v>0</v>
      </c>
      <c r="BO37" s="110">
        <f t="shared" si="31"/>
        <v>0</v>
      </c>
      <c r="BP37" s="110">
        <f t="shared" si="32"/>
        <v>1</v>
      </c>
      <c r="BQ37" s="110">
        <f t="shared" si="33"/>
        <v>0</v>
      </c>
      <c r="BR37" s="8">
        <f t="shared" si="34"/>
        <v>0</v>
      </c>
      <c r="BS37" s="109">
        <f t="shared" si="35"/>
        <v>0.70508795266519197</v>
      </c>
    </row>
    <row r="38" spans="1:71" s="8" customFormat="1" ht="13" x14ac:dyDescent="0.3">
      <c r="A38" s="105" t="s">
        <v>105</v>
      </c>
      <c r="B38" s="76">
        <v>0</v>
      </c>
      <c r="C38" s="76">
        <v>213196.1</v>
      </c>
      <c r="D38" s="76">
        <v>0</v>
      </c>
      <c r="E38" s="82">
        <f>IF(AND(B38=0,D38=0),0,B38/(IF(C38&gt;0,C38,0)+D38))</f>
        <v>0</v>
      </c>
      <c r="F38" s="102">
        <f t="shared" si="44"/>
        <v>1</v>
      </c>
      <c r="G38" s="90"/>
      <c r="H38" s="91">
        <f>F38+G38</f>
        <v>1</v>
      </c>
      <c r="I38" s="76">
        <v>0</v>
      </c>
      <c r="J38" s="76">
        <v>872086</v>
      </c>
      <c r="K38" s="76">
        <v>693550.7</v>
      </c>
      <c r="L38" s="76">
        <v>103603.1</v>
      </c>
      <c r="M38" s="76">
        <v>0</v>
      </c>
      <c r="N38" s="82">
        <f>(I38)/(J38-K38-L38)</f>
        <v>0</v>
      </c>
      <c r="O38" s="102">
        <f t="shared" si="45"/>
        <v>1</v>
      </c>
      <c r="P38" s="90"/>
      <c r="Q38" s="91">
        <f>O38+P38</f>
        <v>1</v>
      </c>
      <c r="R38" s="103">
        <v>0</v>
      </c>
      <c r="S38" s="76">
        <v>1102737.3</v>
      </c>
      <c r="T38" s="84">
        <v>391719.40600000002</v>
      </c>
      <c r="U38" s="82">
        <f>R38/(S38-T38)</f>
        <v>0</v>
      </c>
      <c r="V38" s="102">
        <f t="shared" si="46"/>
        <v>1</v>
      </c>
      <c r="W38" s="90"/>
      <c r="X38" s="91">
        <f>V38+W38</f>
        <v>1</v>
      </c>
      <c r="Y38" s="76">
        <f>C38</f>
        <v>213196.1</v>
      </c>
      <c r="Z38" s="86"/>
      <c r="AA38" s="86">
        <v>213196.1</v>
      </c>
      <c r="AB38" s="86"/>
      <c r="AC38" s="86">
        <f t="shared" ref="AC38:AE40" si="52">J38</f>
        <v>872086</v>
      </c>
      <c r="AD38" s="86">
        <f t="shared" si="52"/>
        <v>693550.7</v>
      </c>
      <c r="AE38" s="86">
        <f t="shared" si="52"/>
        <v>103603.1</v>
      </c>
      <c r="AF38" s="86">
        <f>AC38-AD38-AE38</f>
        <v>74932.200000000041</v>
      </c>
      <c r="AG38" s="86">
        <f>AF38*10%</f>
        <v>7493.2200000000048</v>
      </c>
      <c r="AH38" s="86">
        <f>IF(AA38&gt;0,AA38,0)+AG38+IF(AB38&gt;0,AB38,0)</f>
        <v>220689.32</v>
      </c>
      <c r="AI38" s="104">
        <f>IF((Y38-IF(Z38&gt;0,Z38,0)-IF(AA38&gt;0,AA38,0)-IF(AB38&gt;0,AB38,0))/(AC38-AD38-AE38)&gt;0,(Y38-IF(Z38&gt;0,Z38,0)-IF(AA38&gt;0,AA38,0)-IF(AB38&gt;0,AB38,0))/(AC38-AD38-AE38),0)</f>
        <v>0</v>
      </c>
      <c r="AJ38" s="89">
        <f t="shared" si="47"/>
        <v>1.5</v>
      </c>
      <c r="AK38" s="90"/>
      <c r="AL38" s="91">
        <f>AJ38+AK38</f>
        <v>1.5</v>
      </c>
      <c r="AM38" s="92"/>
      <c r="AN38" s="90"/>
      <c r="AO38" s="104">
        <v>0.66900000000000004</v>
      </c>
      <c r="AP38" s="89">
        <f t="shared" ref="AP38:AP40" si="53">IF(AO38&lt;=1.05,1,0)</f>
        <v>1</v>
      </c>
      <c r="AQ38" s="90"/>
      <c r="AR38" s="107">
        <f>AP38+AQ38</f>
        <v>1</v>
      </c>
      <c r="AS38" s="92"/>
      <c r="AT38" s="90"/>
      <c r="AU38" s="104">
        <v>0.84599999999999997</v>
      </c>
      <c r="AV38" s="89">
        <f t="shared" ref="AV38:AV40" si="54">IF(AU38&lt;=1.05,1,0)</f>
        <v>1</v>
      </c>
      <c r="AW38" s="90"/>
      <c r="AX38" s="107">
        <f>AV38+AW38</f>
        <v>1</v>
      </c>
      <c r="AY38" s="95"/>
      <c r="AZ38" s="96"/>
      <c r="BA38" s="89">
        <f>AZ38</f>
        <v>0</v>
      </c>
      <c r="BB38" s="125">
        <f t="shared" si="24"/>
        <v>6.5</v>
      </c>
      <c r="BC38" s="126">
        <v>602823.41</v>
      </c>
      <c r="BD38" s="108">
        <v>44642.803</v>
      </c>
      <c r="BF38" s="109">
        <f t="shared" si="11"/>
        <v>0.84401038511849547</v>
      </c>
      <c r="BG38" s="8">
        <f t="shared" si="25"/>
        <v>0</v>
      </c>
      <c r="BH38" s="110">
        <f t="shared" si="26"/>
        <v>0</v>
      </c>
      <c r="BI38" s="110">
        <f t="shared" si="27"/>
        <v>0</v>
      </c>
      <c r="BJ38" s="110">
        <f t="shared" si="28"/>
        <v>1</v>
      </c>
      <c r="BK38" s="8">
        <f t="shared" si="29"/>
        <v>0</v>
      </c>
      <c r="BM38" s="109">
        <f t="shared" si="12"/>
        <v>0.30860993427032524</v>
      </c>
      <c r="BN38" s="8">
        <f t="shared" si="30"/>
        <v>0</v>
      </c>
      <c r="BO38" s="110">
        <f t="shared" si="31"/>
        <v>0</v>
      </c>
      <c r="BP38" s="110">
        <f t="shared" si="32"/>
        <v>1</v>
      </c>
      <c r="BQ38" s="110">
        <f t="shared" si="33"/>
        <v>0</v>
      </c>
      <c r="BR38" s="8">
        <f t="shared" si="34"/>
        <v>0</v>
      </c>
      <c r="BS38" s="109">
        <f t="shared" si="35"/>
        <v>0.69124307694424636</v>
      </c>
    </row>
    <row r="39" spans="1:71" s="8" customFormat="1" ht="13" x14ac:dyDescent="0.3">
      <c r="A39" s="105" t="s">
        <v>106</v>
      </c>
      <c r="B39" s="76">
        <v>0</v>
      </c>
      <c r="C39" s="76">
        <v>67214.8</v>
      </c>
      <c r="D39" s="76">
        <v>1166.7</v>
      </c>
      <c r="E39" s="82">
        <f>IF(AND(B39=0,D39=0),0,B39/(IF(C39&gt;0,C39,0)+D39))</f>
        <v>0</v>
      </c>
      <c r="F39" s="102">
        <f t="shared" si="44"/>
        <v>1</v>
      </c>
      <c r="G39" s="90"/>
      <c r="H39" s="91">
        <f>F39+G39</f>
        <v>1</v>
      </c>
      <c r="I39" s="76">
        <v>2333.3000000000002</v>
      </c>
      <c r="J39" s="76">
        <v>1269605.7</v>
      </c>
      <c r="K39" s="76">
        <v>992458.1</v>
      </c>
      <c r="L39" s="76">
        <v>190151.9</v>
      </c>
      <c r="M39" s="76">
        <v>0</v>
      </c>
      <c r="N39" s="82">
        <f>(I39)/(J39-K39-L39)</f>
        <v>2.6820865858887287E-2</v>
      </c>
      <c r="O39" s="102">
        <f t="shared" si="45"/>
        <v>1</v>
      </c>
      <c r="P39" s="90"/>
      <c r="Q39" s="91">
        <f>O39+P39</f>
        <v>1</v>
      </c>
      <c r="R39" s="103">
        <v>3.0013700000000001</v>
      </c>
      <c r="S39" s="76">
        <v>1336820.5</v>
      </c>
      <c r="T39" s="84">
        <v>369238.82299999997</v>
      </c>
      <c r="U39" s="82">
        <f>R39/(S39-T39)</f>
        <v>3.1019293475107839E-6</v>
      </c>
      <c r="V39" s="102">
        <f t="shared" si="46"/>
        <v>1</v>
      </c>
      <c r="W39" s="90"/>
      <c r="X39" s="91">
        <f>V39+W39</f>
        <v>1</v>
      </c>
      <c r="Y39" s="76">
        <f>C39</f>
        <v>67214.8</v>
      </c>
      <c r="Z39" s="86"/>
      <c r="AA39" s="86">
        <v>68381.399999999994</v>
      </c>
      <c r="AB39" s="86"/>
      <c r="AC39" s="86">
        <f t="shared" si="52"/>
        <v>1269605.7</v>
      </c>
      <c r="AD39" s="86">
        <f t="shared" si="52"/>
        <v>992458.1</v>
      </c>
      <c r="AE39" s="86">
        <f t="shared" si="52"/>
        <v>190151.9</v>
      </c>
      <c r="AF39" s="86">
        <f>AC39-AD39-AE39</f>
        <v>86995.699999999983</v>
      </c>
      <c r="AG39" s="86">
        <f>AF39*10%</f>
        <v>8699.5699999999979</v>
      </c>
      <c r="AH39" s="86">
        <f>IF(AA39&gt;0,AA39,0)+AG39+IF(AB39&gt;0,AB39,0)</f>
        <v>77080.969999999987</v>
      </c>
      <c r="AI39" s="104">
        <f>IF((Y39-IF(Z39&gt;0,Z39,0)-IF(AA39&gt;0,AA39,0)-IF(AB39&gt;0,AB39,0))/(AC39-AD39-AE39)&gt;0,(Y39-IF(Z39&gt;0,Z39,0)-IF(AA39&gt;0,AA39,0)-IF(AB39&gt;0,AB39,0))/(AC39-AD39-AE39),0)</f>
        <v>0</v>
      </c>
      <c r="AJ39" s="89">
        <f t="shared" si="47"/>
        <v>1.5</v>
      </c>
      <c r="AK39" s="90"/>
      <c r="AL39" s="91">
        <f>AJ39+AK39</f>
        <v>1.5</v>
      </c>
      <c r="AM39" s="92"/>
      <c r="AN39" s="90"/>
      <c r="AO39" s="104">
        <v>0.94</v>
      </c>
      <c r="AP39" s="89">
        <f t="shared" si="53"/>
        <v>1</v>
      </c>
      <c r="AQ39" s="90"/>
      <c r="AR39" s="107">
        <f>AP39+AQ39</f>
        <v>1</v>
      </c>
      <c r="AS39" s="92"/>
      <c r="AT39" s="90"/>
      <c r="AU39" s="104">
        <v>0.93300000000000005</v>
      </c>
      <c r="AV39" s="89">
        <f t="shared" si="54"/>
        <v>1</v>
      </c>
      <c r="AW39" s="90"/>
      <c r="AX39" s="107">
        <f>AV39+AW39</f>
        <v>1</v>
      </c>
      <c r="AY39" s="95"/>
      <c r="AZ39" s="96"/>
      <c r="BA39" s="89">
        <f>AZ39</f>
        <v>0</v>
      </c>
      <c r="BB39" s="125">
        <f t="shared" si="24"/>
        <v>6.5</v>
      </c>
      <c r="BC39" s="126">
        <v>907546.37</v>
      </c>
      <c r="BD39" s="108">
        <v>76667.680959999998</v>
      </c>
      <c r="BF39" s="109">
        <f t="shared" si="11"/>
        <v>0.90337749841501558</v>
      </c>
      <c r="BG39" s="8">
        <f t="shared" si="25"/>
        <v>0</v>
      </c>
      <c r="BH39" s="110">
        <f t="shared" si="26"/>
        <v>0</v>
      </c>
      <c r="BI39" s="110">
        <f t="shared" si="27"/>
        <v>0</v>
      </c>
      <c r="BJ39" s="110">
        <f t="shared" si="28"/>
        <v>0</v>
      </c>
      <c r="BK39" s="8">
        <f t="shared" si="29"/>
        <v>1</v>
      </c>
      <c r="BM39" s="109">
        <f t="shared" si="12"/>
        <v>0.29634539849914981</v>
      </c>
      <c r="BN39" s="8">
        <f t="shared" si="30"/>
        <v>0</v>
      </c>
      <c r="BO39" s="110">
        <f t="shared" si="31"/>
        <v>0</v>
      </c>
      <c r="BP39" s="110">
        <f t="shared" si="32"/>
        <v>1</v>
      </c>
      <c r="BQ39" s="110">
        <f t="shared" si="33"/>
        <v>0</v>
      </c>
      <c r="BR39" s="8">
        <f t="shared" si="34"/>
        <v>0</v>
      </c>
      <c r="BS39" s="109">
        <f t="shared" si="35"/>
        <v>0.7148253745237596</v>
      </c>
    </row>
    <row r="40" spans="1:71" s="8" customFormat="1" ht="13.5" thickBot="1" x14ac:dyDescent="0.35">
      <c r="A40" s="105" t="s">
        <v>107</v>
      </c>
      <c r="B40" s="76">
        <v>0</v>
      </c>
      <c r="C40" s="76">
        <v>51246.7</v>
      </c>
      <c r="D40" s="76">
        <v>0</v>
      </c>
      <c r="E40" s="82">
        <f>IF(AND(B40=0,D40=0),0,B40/(IF(C40&gt;0,C40,0)+D40))</f>
        <v>0</v>
      </c>
      <c r="F40" s="102">
        <f t="shared" si="44"/>
        <v>1</v>
      </c>
      <c r="G40" s="90"/>
      <c r="H40" s="91">
        <f>F40+G40</f>
        <v>1</v>
      </c>
      <c r="I40" s="76">
        <v>0</v>
      </c>
      <c r="J40" s="76">
        <v>1356141.4</v>
      </c>
      <c r="K40" s="76">
        <v>1003598.9</v>
      </c>
      <c r="L40" s="76">
        <v>236627.1</v>
      </c>
      <c r="M40" s="76">
        <v>0</v>
      </c>
      <c r="N40" s="82">
        <f>(I40)/(J40-K40-L40)</f>
        <v>0</v>
      </c>
      <c r="O40" s="102">
        <f t="shared" si="45"/>
        <v>1</v>
      </c>
      <c r="P40" s="90"/>
      <c r="Q40" s="91">
        <f>O40+P40</f>
        <v>1</v>
      </c>
      <c r="R40" s="103">
        <v>0</v>
      </c>
      <c r="S40" s="76">
        <v>1407388.1</v>
      </c>
      <c r="T40" s="84">
        <v>545831.15599999996</v>
      </c>
      <c r="U40" s="82">
        <f>R40/(S40-T40)</f>
        <v>0</v>
      </c>
      <c r="V40" s="102">
        <f t="shared" si="46"/>
        <v>1</v>
      </c>
      <c r="W40" s="90"/>
      <c r="X40" s="91">
        <f>V40+W40</f>
        <v>1</v>
      </c>
      <c r="Y40" s="76">
        <f>C40</f>
        <v>51246.7</v>
      </c>
      <c r="Z40" s="86"/>
      <c r="AA40" s="86">
        <v>51246.7</v>
      </c>
      <c r="AB40" s="86"/>
      <c r="AC40" s="86">
        <f t="shared" si="52"/>
        <v>1356141.4</v>
      </c>
      <c r="AD40" s="86">
        <f t="shared" si="52"/>
        <v>1003598.9</v>
      </c>
      <c r="AE40" s="86">
        <f t="shared" si="52"/>
        <v>236627.1</v>
      </c>
      <c r="AF40" s="86">
        <f>AC40-AD40-AE40</f>
        <v>115915.39999999988</v>
      </c>
      <c r="AG40" s="86">
        <f>AF40*10%</f>
        <v>11591.539999999988</v>
      </c>
      <c r="AH40" s="86">
        <f>IF(AA40&gt;0,AA40,0)+AG40+IF(AB40&gt;0,AB40,0)</f>
        <v>62838.239999999983</v>
      </c>
      <c r="AI40" s="104">
        <f>IF((Y40-IF(Z40&gt;0,Z40,0)-IF(AA40&gt;0,AA40,0)-IF(AB40&gt;0,AB40,0))/(AC40-AD40-AE40)&gt;0,(Y40-IF(Z40&gt;0,Z40,0)-IF(AA40&gt;0,AA40,0)-IF(AB40&gt;0,AB40,0))/(AC40-AD40-AE40),0)</f>
        <v>0</v>
      </c>
      <c r="AJ40" s="89">
        <f t="shared" si="47"/>
        <v>1.5</v>
      </c>
      <c r="AK40" s="90"/>
      <c r="AL40" s="91">
        <f>AJ40+AK40</f>
        <v>1.5</v>
      </c>
      <c r="AM40" s="92"/>
      <c r="AN40" s="90"/>
      <c r="AO40" s="104">
        <v>0.91600000000000004</v>
      </c>
      <c r="AP40" s="89">
        <f t="shared" si="53"/>
        <v>1</v>
      </c>
      <c r="AQ40" s="90"/>
      <c r="AR40" s="107">
        <f>AP40+AQ40</f>
        <v>1</v>
      </c>
      <c r="AS40" s="92"/>
      <c r="AT40" s="90"/>
      <c r="AU40" s="104">
        <v>0.95599999999999996</v>
      </c>
      <c r="AV40" s="89">
        <f t="shared" si="54"/>
        <v>1</v>
      </c>
      <c r="AW40" s="90"/>
      <c r="AX40" s="107">
        <f>AV40+AW40</f>
        <v>1</v>
      </c>
      <c r="AY40" s="95"/>
      <c r="AZ40" s="96"/>
      <c r="BA40" s="89">
        <f>AZ40</f>
        <v>0</v>
      </c>
      <c r="BB40" s="125">
        <f t="shared" si="24"/>
        <v>6.5</v>
      </c>
      <c r="BC40" s="126">
        <v>935988.22</v>
      </c>
      <c r="BD40" s="108">
        <v>34090.917000000001</v>
      </c>
      <c r="BF40" s="109">
        <f t="shared" si="11"/>
        <v>0.85694935876930622</v>
      </c>
      <c r="BG40" s="8">
        <f t="shared" si="25"/>
        <v>0</v>
      </c>
      <c r="BH40" s="110">
        <f t="shared" si="26"/>
        <v>0</v>
      </c>
      <c r="BI40" s="110">
        <f t="shared" si="27"/>
        <v>0</v>
      </c>
      <c r="BJ40" s="110">
        <f t="shared" si="28"/>
        <v>1</v>
      </c>
      <c r="BK40" s="8">
        <f t="shared" si="29"/>
        <v>0</v>
      </c>
      <c r="BM40" s="109">
        <f t="shared" si="12"/>
        <v>0.33409181113598263</v>
      </c>
      <c r="BN40" s="8">
        <f t="shared" si="30"/>
        <v>0</v>
      </c>
      <c r="BO40" s="110">
        <f t="shared" si="31"/>
        <v>0</v>
      </c>
      <c r="BP40" s="110">
        <f t="shared" si="32"/>
        <v>1</v>
      </c>
      <c r="BQ40" s="110">
        <f t="shared" si="33"/>
        <v>0</v>
      </c>
      <c r="BR40" s="8">
        <f t="shared" si="34"/>
        <v>0</v>
      </c>
      <c r="BS40" s="109">
        <f t="shared" si="35"/>
        <v>0.69018482880914933</v>
      </c>
    </row>
    <row r="41" spans="1:71" ht="14" thickTop="1" thickBot="1" x14ac:dyDescent="0.35">
      <c r="A41" s="111" t="s">
        <v>108</v>
      </c>
      <c r="B41" s="112">
        <f>SUM(B10:B40)</f>
        <v>2584139.9</v>
      </c>
      <c r="C41" s="112">
        <f>SUM(C10:C40)</f>
        <v>2002915.4999999995</v>
      </c>
      <c r="D41" s="112">
        <f>SUM(D10:D40)</f>
        <v>2662297.5</v>
      </c>
      <c r="E41" s="113"/>
      <c r="F41" s="113"/>
      <c r="G41" s="113"/>
      <c r="H41" s="114"/>
      <c r="I41" s="115">
        <f>SUM(I10:I40)</f>
        <v>2938455.0999999996</v>
      </c>
      <c r="J41" s="115">
        <f>SUM(J10:J40)</f>
        <v>52456095.500000015</v>
      </c>
      <c r="K41" s="115">
        <f>SUM(K10:K40)</f>
        <v>38857935</v>
      </c>
      <c r="L41" s="115">
        <f>SUM(L10:L40)</f>
        <v>5321135.5999999996</v>
      </c>
      <c r="M41" s="113">
        <f>SUM(M10:M40)</f>
        <v>0</v>
      </c>
      <c r="N41" s="113"/>
      <c r="O41" s="113"/>
      <c r="P41" s="113"/>
      <c r="Q41" s="114"/>
      <c r="R41" s="116">
        <f>SUM(R10:R40)</f>
        <v>297767.28767999995</v>
      </c>
      <c r="S41" s="117">
        <f>SUM(S10:S40)</f>
        <v>54912036.700000018</v>
      </c>
      <c r="T41" s="117">
        <f>SUM(T10:T40)</f>
        <v>17990540.188999999</v>
      </c>
      <c r="U41" s="113"/>
      <c r="V41" s="113"/>
      <c r="W41" s="113"/>
      <c r="X41" s="114"/>
      <c r="Y41" s="118">
        <f t="shared" ref="Y41:AE41" si="55">SUM(Y10:Y40)</f>
        <v>2002915.4999999995</v>
      </c>
      <c r="Z41" s="116">
        <f t="shared" si="55"/>
        <v>0</v>
      </c>
      <c r="AA41" s="116">
        <f t="shared" si="55"/>
        <v>2081072.9999999993</v>
      </c>
      <c r="AB41" s="116">
        <f t="shared" si="55"/>
        <v>0</v>
      </c>
      <c r="AC41" s="116">
        <f t="shared" si="55"/>
        <v>52456095.500000015</v>
      </c>
      <c r="AD41" s="116">
        <f t="shared" si="55"/>
        <v>38857935</v>
      </c>
      <c r="AE41" s="116">
        <f t="shared" si="55"/>
        <v>5321135.5999999996</v>
      </c>
      <c r="AF41" s="119"/>
      <c r="AG41" s="119"/>
      <c r="AH41" s="119"/>
      <c r="AI41" s="113"/>
      <c r="AJ41" s="113"/>
      <c r="AK41" s="113"/>
      <c r="AL41" s="113"/>
      <c r="AM41" s="116">
        <f>SUM(AM10:AM40)</f>
        <v>0</v>
      </c>
      <c r="AN41" s="120">
        <f>SUM(AN10:AN40)</f>
        <v>0</v>
      </c>
      <c r="AO41" s="113"/>
      <c r="AP41" s="113"/>
      <c r="AQ41" s="113"/>
      <c r="AR41" s="113"/>
      <c r="AS41" s="120">
        <f>SUM(AS10:AS40)</f>
        <v>0</v>
      </c>
      <c r="AT41" s="120">
        <f>SUM(AT10:AT40)</f>
        <v>0</v>
      </c>
      <c r="AU41" s="113"/>
      <c r="AV41" s="113"/>
      <c r="AW41" s="113"/>
      <c r="AX41" s="113"/>
      <c r="AY41" s="120"/>
      <c r="AZ41" s="113"/>
      <c r="BA41" s="114"/>
      <c r="BB41" s="121"/>
      <c r="BC41" s="7"/>
      <c r="BD41" s="1"/>
      <c r="BF41" s="122"/>
      <c r="BG41" s="123">
        <f>SUM(BG10:BG40)</f>
        <v>0</v>
      </c>
      <c r="BH41" s="123">
        <f>SUM(BH10:BH40)</f>
        <v>0</v>
      </c>
      <c r="BI41" s="123">
        <f>SUM(BI10:BI40)</f>
        <v>3</v>
      </c>
      <c r="BJ41" s="123">
        <f>SUM(BJ10:BJ40)</f>
        <v>23</v>
      </c>
      <c r="BK41" s="123">
        <f>SUM(BK10:BK40)</f>
        <v>5</v>
      </c>
      <c r="BM41" s="122"/>
      <c r="BN41" s="123">
        <f>SUM(BN10:BN40)</f>
        <v>0</v>
      </c>
      <c r="BO41" s="123">
        <f>SUM(BO10:BO40)</f>
        <v>4</v>
      </c>
      <c r="BP41" s="123">
        <f>SUM(BP10:BP40)</f>
        <v>24</v>
      </c>
      <c r="BQ41" s="123">
        <f>SUM(BQ10:BQ40)</f>
        <v>3</v>
      </c>
      <c r="BR41" s="123">
        <f>SUM(BR10:BR40)</f>
        <v>0</v>
      </c>
    </row>
    <row r="42" spans="1:71" ht="13" thickTop="1" x14ac:dyDescent="0.25"/>
  </sheetData>
  <mergeCells count="13">
    <mergeCell ref="AM4:AR4"/>
    <mergeCell ref="AS4:AX4"/>
    <mergeCell ref="B5:D5"/>
    <mergeCell ref="R5:T5"/>
    <mergeCell ref="Y5:AA5"/>
    <mergeCell ref="AM5:AN5"/>
    <mergeCell ref="AS5:AT5"/>
    <mergeCell ref="B1:H3"/>
    <mergeCell ref="A4:A7"/>
    <mergeCell ref="B4:H4"/>
    <mergeCell ref="I4:Q4"/>
    <mergeCell ref="R4:X4"/>
    <mergeCell ref="Y4:AL4"/>
  </mergeCells>
  <pageMargins left="0.19685039370078741" right="0.19685039370078741" top="0.35433070866141736" bottom="0.27559055118110237" header="0.31496062992125984" footer="0.31496062992125984"/>
  <pageSetup paperSize="9" scale="7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42"/>
  <sheetViews>
    <sheetView zoomScale="90" zoomScaleNormal="90" zoomScaleSheetLayoutView="70" workbookViewId="0">
      <pane xSplit="1" ySplit="9" topLeftCell="AL22" activePane="bottomRight" state="frozen"/>
      <selection activeCell="R10" sqref="R10:R40"/>
      <selection pane="topRight" activeCell="R10" sqref="R10:R40"/>
      <selection pane="bottomLeft" activeCell="R10" sqref="R10:R40"/>
      <selection pane="bottomRight" activeCell="AK35" sqref="AK35"/>
    </sheetView>
  </sheetViews>
  <sheetFormatPr defaultColWidth="9.08984375" defaultRowHeight="12.5" x14ac:dyDescent="0.25"/>
  <cols>
    <col min="1" max="1" width="30.1796875" customWidth="1"/>
    <col min="2" max="2" width="22" customWidth="1"/>
    <col min="3" max="3" width="20.36328125" customWidth="1"/>
    <col min="4" max="4" width="20.08984375" customWidth="1"/>
    <col min="5" max="5" width="32.90625" customWidth="1"/>
    <col min="6" max="6" width="17.90625" customWidth="1"/>
    <col min="7" max="7" width="23.6328125" customWidth="1"/>
    <col min="8" max="8" width="15.81640625" customWidth="1"/>
    <col min="9" max="10" width="20.08984375" customWidth="1"/>
    <col min="11" max="11" width="17.6328125" customWidth="1"/>
    <col min="12" max="12" width="17.453125" customWidth="1"/>
    <col min="13" max="13" width="12.90625" customWidth="1"/>
    <col min="14" max="14" width="19.54296875" customWidth="1"/>
    <col min="15" max="15" width="16.6328125" customWidth="1"/>
    <col min="16" max="16" width="17.08984375" customWidth="1"/>
    <col min="17" max="17" width="15.81640625" customWidth="1"/>
    <col min="18" max="18" width="21.54296875" customWidth="1"/>
    <col min="19" max="19" width="25.36328125" customWidth="1"/>
    <col min="20" max="20" width="24.36328125" customWidth="1"/>
    <col min="21" max="21" width="29.6328125" customWidth="1"/>
    <col min="22" max="22" width="18" customWidth="1"/>
    <col min="23" max="23" width="23.6328125" customWidth="1"/>
    <col min="24" max="24" width="14" customWidth="1"/>
    <col min="25" max="25" width="16.81640625" customWidth="1"/>
    <col min="26" max="26" width="15.08984375" customWidth="1"/>
    <col min="27" max="27" width="16.1796875" customWidth="1"/>
    <col min="28" max="28" width="20.6328125" hidden="1" customWidth="1"/>
    <col min="29" max="29" width="14.90625" customWidth="1"/>
    <col min="30" max="30" width="15.08984375" customWidth="1"/>
    <col min="31" max="31" width="14" customWidth="1"/>
    <col min="32" max="32" width="15.36328125" hidden="1" customWidth="1"/>
    <col min="33" max="33" width="20.36328125" hidden="1" customWidth="1"/>
    <col min="34" max="34" width="1.1796875" hidden="1" customWidth="1"/>
    <col min="35" max="35" width="25.453125" customWidth="1"/>
    <col min="36" max="36" width="12.81640625" customWidth="1"/>
    <col min="37" max="37" width="16" customWidth="1"/>
    <col min="38" max="38" width="13.08984375" customWidth="1"/>
    <col min="39" max="40" width="23.90625" hidden="1" customWidth="1"/>
    <col min="41" max="41" width="46" customWidth="1"/>
    <col min="42" max="42" width="16.90625" customWidth="1"/>
    <col min="43" max="43" width="21.08984375" customWidth="1"/>
    <col min="44" max="44" width="20.453125" customWidth="1"/>
    <col min="45" max="45" width="32" hidden="1" customWidth="1"/>
    <col min="46" max="46" width="27.453125" hidden="1" customWidth="1"/>
    <col min="47" max="47" width="31.54296875" customWidth="1"/>
    <col min="48" max="48" width="15.1796875" customWidth="1"/>
    <col min="49" max="49" width="24" customWidth="1"/>
    <col min="50" max="50" width="16.1796875" customWidth="1"/>
    <col min="51" max="52" width="17.90625" hidden="1" customWidth="1"/>
    <col min="53" max="53" width="14.90625" hidden="1" customWidth="1"/>
    <col min="54" max="54" width="13.90625" customWidth="1"/>
    <col min="55" max="55" width="12.36328125" style="9" hidden="1" customWidth="1"/>
    <col min="56" max="56" width="13.90625" hidden="1" customWidth="1"/>
    <col min="57" max="59" width="0" style="9" hidden="1" customWidth="1"/>
    <col min="60" max="62" width="12.36328125" style="9" hidden="1" customWidth="1"/>
    <col min="63" max="63" width="11" style="9" hidden="1" customWidth="1"/>
    <col min="64" max="66" width="0" style="9" hidden="1" customWidth="1"/>
    <col min="67" max="67" width="12.36328125" style="9" hidden="1" customWidth="1"/>
    <col min="68" max="68" width="12.90625" style="9" hidden="1" customWidth="1"/>
    <col min="69" max="69" width="13" style="9" hidden="1" customWidth="1"/>
    <col min="70" max="70" width="11" style="9" hidden="1" customWidth="1"/>
    <col min="71" max="71" width="0" style="9" hidden="1" customWidth="1"/>
    <col min="72" max="16384" width="9.08984375" style="9"/>
  </cols>
  <sheetData>
    <row r="1" spans="1:71" s="7" customFormat="1" ht="16.5" customHeight="1" x14ac:dyDescent="0.3">
      <c r="A1" s="1"/>
      <c r="B1" s="2" t="s">
        <v>0</v>
      </c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>
        <v>1000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5"/>
      <c r="AN1" s="6"/>
      <c r="AO1" s="6"/>
      <c r="AP1" s="6"/>
      <c r="AQ1" s="5"/>
      <c r="AR1" s="4"/>
      <c r="AS1" s="5"/>
      <c r="AT1" s="5"/>
      <c r="AU1" s="6"/>
      <c r="AV1" s="6"/>
      <c r="AW1" s="5"/>
      <c r="AX1" s="1"/>
      <c r="BB1" s="1"/>
      <c r="BD1" s="1"/>
    </row>
    <row r="2" spans="1:71" ht="12.75" hidden="1" customHeight="1" x14ac:dyDescent="0.3">
      <c r="B2" s="2"/>
      <c r="C2" s="2"/>
      <c r="D2" s="2"/>
      <c r="E2" s="2"/>
      <c r="F2" s="2"/>
      <c r="G2" s="2"/>
      <c r="H2" s="2"/>
      <c r="I2" s="8"/>
      <c r="J2" s="8"/>
      <c r="K2" s="8"/>
      <c r="L2" s="8"/>
      <c r="M2" s="8"/>
      <c r="N2" s="8"/>
      <c r="O2" s="8"/>
      <c r="P2" s="8"/>
      <c r="Q2" s="8"/>
      <c r="R2" s="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BC2" s="7"/>
      <c r="BD2" s="1"/>
    </row>
    <row r="3" spans="1:71" ht="13.5" thickBot="1" x14ac:dyDescent="0.35">
      <c r="A3" s="10" t="s">
        <v>1</v>
      </c>
      <c r="B3" s="11"/>
      <c r="C3" s="11"/>
      <c r="D3" s="11"/>
      <c r="E3" s="11"/>
      <c r="F3" s="11"/>
      <c r="G3" s="11"/>
      <c r="H3" s="11"/>
      <c r="I3" s="8"/>
      <c r="J3" s="8"/>
      <c r="K3" s="12"/>
      <c r="L3" s="8"/>
      <c r="M3" s="8"/>
      <c r="N3" s="8"/>
      <c r="O3" s="8"/>
      <c r="P3" s="8"/>
      <c r="Q3" s="8"/>
      <c r="R3" s="4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BC3" s="7"/>
      <c r="BD3" s="1"/>
    </row>
    <row r="4" spans="1:71" ht="13.5" customHeight="1" thickTop="1" x14ac:dyDescent="0.3">
      <c r="A4" s="13" t="s">
        <v>2</v>
      </c>
      <c r="B4" s="14"/>
      <c r="C4" s="15"/>
      <c r="D4" s="15"/>
      <c r="E4" s="15"/>
      <c r="F4" s="15"/>
      <c r="G4" s="15"/>
      <c r="H4" s="16"/>
      <c r="I4" s="17"/>
      <c r="J4" s="18"/>
      <c r="K4" s="18"/>
      <c r="L4" s="18"/>
      <c r="M4" s="18"/>
      <c r="N4" s="18"/>
      <c r="O4" s="18"/>
      <c r="P4" s="18"/>
      <c r="Q4" s="19"/>
      <c r="R4" s="17"/>
      <c r="S4" s="18"/>
      <c r="T4" s="18"/>
      <c r="U4" s="18"/>
      <c r="V4" s="18"/>
      <c r="W4" s="18"/>
      <c r="X4" s="19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20"/>
      <c r="AM4" s="17"/>
      <c r="AN4" s="18"/>
      <c r="AO4" s="18"/>
      <c r="AP4" s="18"/>
      <c r="AQ4" s="18"/>
      <c r="AR4" s="20"/>
      <c r="AS4" s="17"/>
      <c r="AT4" s="18"/>
      <c r="AU4" s="18"/>
      <c r="AV4" s="18"/>
      <c r="AW4" s="18"/>
      <c r="AX4" s="20"/>
      <c r="AY4" s="21"/>
      <c r="AZ4" s="22"/>
      <c r="BA4" s="23"/>
      <c r="BB4" s="24"/>
      <c r="BC4" s="7"/>
      <c r="BD4" s="1"/>
    </row>
    <row r="5" spans="1:71" ht="13.5" customHeight="1" thickBot="1" x14ac:dyDescent="0.35">
      <c r="A5" s="25"/>
      <c r="B5" s="26"/>
      <c r="C5" s="27"/>
      <c r="D5" s="27"/>
      <c r="E5" s="28" t="s">
        <v>3</v>
      </c>
      <c r="F5" s="29"/>
      <c r="G5" s="30"/>
      <c r="H5" s="31"/>
      <c r="I5" s="32"/>
      <c r="J5" s="33"/>
      <c r="K5" s="34"/>
      <c r="L5" s="35"/>
      <c r="M5" s="36"/>
      <c r="N5" s="28" t="s">
        <v>4</v>
      </c>
      <c r="O5" s="29"/>
      <c r="P5" s="30"/>
      <c r="Q5" s="31"/>
      <c r="R5" s="37"/>
      <c r="S5" s="27"/>
      <c r="T5" s="27"/>
      <c r="U5" s="28" t="s">
        <v>5</v>
      </c>
      <c r="V5" s="29"/>
      <c r="W5" s="30"/>
      <c r="X5" s="31"/>
      <c r="Y5" s="38"/>
      <c r="Z5" s="27"/>
      <c r="AA5" s="27"/>
      <c r="AB5" s="36"/>
      <c r="AC5" s="36"/>
      <c r="AD5" s="36"/>
      <c r="AE5" s="36"/>
      <c r="AF5" s="36"/>
      <c r="AG5" s="36"/>
      <c r="AH5" s="36"/>
      <c r="AI5" s="28" t="s">
        <v>6</v>
      </c>
      <c r="AJ5" s="29"/>
      <c r="AK5" s="30"/>
      <c r="AL5" s="39"/>
      <c r="AM5" s="37"/>
      <c r="AN5" s="27"/>
      <c r="AO5" s="28" t="s">
        <v>7</v>
      </c>
      <c r="AP5" s="29"/>
      <c r="AQ5" s="30"/>
      <c r="AR5" s="39"/>
      <c r="AS5" s="37"/>
      <c r="AT5" s="27"/>
      <c r="AU5" s="28" t="s">
        <v>8</v>
      </c>
      <c r="AV5" s="29"/>
      <c r="AW5" s="30"/>
      <c r="AX5" s="39"/>
      <c r="AY5" s="40" t="s">
        <v>9</v>
      </c>
      <c r="AZ5" s="41"/>
      <c r="BA5" s="42"/>
      <c r="BB5" s="43"/>
      <c r="BC5" s="7"/>
      <c r="BD5" s="1"/>
    </row>
    <row r="6" spans="1:71" ht="159.75" customHeight="1" thickBot="1" x14ac:dyDescent="0.35">
      <c r="A6" s="25"/>
      <c r="B6" s="44" t="s">
        <v>10</v>
      </c>
      <c r="C6" s="44" t="s">
        <v>11</v>
      </c>
      <c r="D6" s="44" t="s">
        <v>12</v>
      </c>
      <c r="E6" s="44" t="s">
        <v>13</v>
      </c>
      <c r="F6" s="45" t="s">
        <v>14</v>
      </c>
      <c r="G6" s="45" t="s">
        <v>15</v>
      </c>
      <c r="H6" s="46" t="s">
        <v>16</v>
      </c>
      <c r="I6" s="44" t="s">
        <v>17</v>
      </c>
      <c r="J6" s="44" t="s">
        <v>18</v>
      </c>
      <c r="K6" s="44" t="s">
        <v>19</v>
      </c>
      <c r="L6" s="44" t="s">
        <v>20</v>
      </c>
      <c r="M6" s="44" t="s">
        <v>21</v>
      </c>
      <c r="N6" s="44" t="s">
        <v>22</v>
      </c>
      <c r="O6" s="45" t="s">
        <v>14</v>
      </c>
      <c r="P6" s="45" t="s">
        <v>15</v>
      </c>
      <c r="Q6" s="46" t="s">
        <v>16</v>
      </c>
      <c r="R6" s="44" t="s">
        <v>23</v>
      </c>
      <c r="S6" s="44" t="s">
        <v>24</v>
      </c>
      <c r="T6" s="44" t="s">
        <v>25</v>
      </c>
      <c r="U6" s="44" t="s">
        <v>26</v>
      </c>
      <c r="V6" s="45" t="s">
        <v>14</v>
      </c>
      <c r="W6" s="45" t="s">
        <v>15</v>
      </c>
      <c r="X6" s="46" t="s">
        <v>16</v>
      </c>
      <c r="Y6" s="44" t="s">
        <v>27</v>
      </c>
      <c r="Z6" s="44" t="s">
        <v>28</v>
      </c>
      <c r="AA6" s="44" t="s">
        <v>29</v>
      </c>
      <c r="AB6" s="44" t="s">
        <v>30</v>
      </c>
      <c r="AC6" s="44" t="s">
        <v>31</v>
      </c>
      <c r="AD6" s="44" t="s">
        <v>32</v>
      </c>
      <c r="AE6" s="44" t="s">
        <v>33</v>
      </c>
      <c r="AF6" s="47" t="s">
        <v>34</v>
      </c>
      <c r="AG6" s="47" t="s">
        <v>35</v>
      </c>
      <c r="AH6" s="47" t="s">
        <v>36</v>
      </c>
      <c r="AI6" s="44" t="s">
        <v>37</v>
      </c>
      <c r="AJ6" s="45" t="s">
        <v>14</v>
      </c>
      <c r="AK6" s="45" t="s">
        <v>15</v>
      </c>
      <c r="AL6" s="45" t="s">
        <v>16</v>
      </c>
      <c r="AM6" s="48" t="s">
        <v>38</v>
      </c>
      <c r="AN6" s="44" t="s">
        <v>39</v>
      </c>
      <c r="AO6" s="44" t="s">
        <v>40</v>
      </c>
      <c r="AP6" s="45" t="s">
        <v>14</v>
      </c>
      <c r="AQ6" s="45" t="s">
        <v>15</v>
      </c>
      <c r="AR6" s="45" t="s">
        <v>16</v>
      </c>
      <c r="AS6" s="48" t="s">
        <v>41</v>
      </c>
      <c r="AT6" s="44" t="s">
        <v>42</v>
      </c>
      <c r="AU6" s="44" t="s">
        <v>43</v>
      </c>
      <c r="AV6" s="45" t="s">
        <v>14</v>
      </c>
      <c r="AW6" s="45" t="s">
        <v>15</v>
      </c>
      <c r="AX6" s="45" t="s">
        <v>16</v>
      </c>
      <c r="AY6" s="48" t="s">
        <v>44</v>
      </c>
      <c r="AZ6" s="45" t="s">
        <v>14</v>
      </c>
      <c r="BA6" s="46" t="s">
        <v>16</v>
      </c>
      <c r="BB6" s="49" t="s">
        <v>45</v>
      </c>
      <c r="BC6" s="7"/>
      <c r="BD6" s="1" t="s">
        <v>46</v>
      </c>
    </row>
    <row r="7" spans="1:71" ht="53" thickTop="1" thickBot="1" x14ac:dyDescent="0.35">
      <c r="A7" s="50"/>
      <c r="B7" s="51" t="s">
        <v>47</v>
      </c>
      <c r="C7" s="51" t="s">
        <v>48</v>
      </c>
      <c r="D7" s="51" t="s">
        <v>49</v>
      </c>
      <c r="E7" s="51" t="s">
        <v>50</v>
      </c>
      <c r="F7" s="51" t="s">
        <v>51</v>
      </c>
      <c r="G7" s="51" t="s">
        <v>51</v>
      </c>
      <c r="H7" s="52">
        <v>1</v>
      </c>
      <c r="I7" s="51" t="s">
        <v>47</v>
      </c>
      <c r="J7" s="51" t="s">
        <v>48</v>
      </c>
      <c r="K7" s="51" t="s">
        <v>49</v>
      </c>
      <c r="L7" s="51" t="s">
        <v>52</v>
      </c>
      <c r="M7" s="51"/>
      <c r="N7" s="51" t="s">
        <v>53</v>
      </c>
      <c r="O7" s="51" t="s">
        <v>51</v>
      </c>
      <c r="P7" s="51" t="s">
        <v>54</v>
      </c>
      <c r="Q7" s="52">
        <v>1</v>
      </c>
      <c r="R7" s="51" t="s">
        <v>47</v>
      </c>
      <c r="S7" s="51" t="s">
        <v>48</v>
      </c>
      <c r="T7" s="51" t="s">
        <v>49</v>
      </c>
      <c r="U7" s="51" t="s">
        <v>55</v>
      </c>
      <c r="V7" s="51" t="s">
        <v>56</v>
      </c>
      <c r="W7" s="51" t="s">
        <v>56</v>
      </c>
      <c r="X7" s="52">
        <v>1</v>
      </c>
      <c r="Y7" s="51" t="s">
        <v>47</v>
      </c>
      <c r="Z7" s="51" t="s">
        <v>48</v>
      </c>
      <c r="AA7" s="51" t="s">
        <v>49</v>
      </c>
      <c r="AB7" s="51" t="s">
        <v>57</v>
      </c>
      <c r="AC7" s="51" t="s">
        <v>52</v>
      </c>
      <c r="AD7" s="51" t="s">
        <v>58</v>
      </c>
      <c r="AE7" s="51" t="s">
        <v>59</v>
      </c>
      <c r="AF7" s="53"/>
      <c r="AG7" s="53"/>
      <c r="AH7" s="53"/>
      <c r="AI7" s="51" t="s">
        <v>60</v>
      </c>
      <c r="AJ7" s="51" t="s">
        <v>61</v>
      </c>
      <c r="AK7" s="51" t="s">
        <v>62</v>
      </c>
      <c r="AL7" s="51">
        <v>1.5</v>
      </c>
      <c r="AM7" s="51" t="s">
        <v>47</v>
      </c>
      <c r="AN7" s="51" t="s">
        <v>48</v>
      </c>
      <c r="AO7" s="51" t="s">
        <v>63</v>
      </c>
      <c r="AP7" s="51" t="s">
        <v>51</v>
      </c>
      <c r="AQ7" s="51" t="s">
        <v>51</v>
      </c>
      <c r="AR7" s="51">
        <v>1</v>
      </c>
      <c r="AS7" s="51" t="s">
        <v>47</v>
      </c>
      <c r="AT7" s="51" t="s">
        <v>48</v>
      </c>
      <c r="AU7" s="51" t="s">
        <v>63</v>
      </c>
      <c r="AV7" s="51" t="s">
        <v>51</v>
      </c>
      <c r="AW7" s="51" t="s">
        <v>51</v>
      </c>
      <c r="AX7" s="51">
        <v>1</v>
      </c>
      <c r="AY7" s="54" t="s">
        <v>47</v>
      </c>
      <c r="AZ7" s="51">
        <v>1</v>
      </c>
      <c r="BA7" s="55">
        <v>1</v>
      </c>
      <c r="BB7" s="56"/>
      <c r="BC7" s="7"/>
      <c r="BD7" s="1"/>
    </row>
    <row r="8" spans="1:71" ht="14.5" thickTop="1" thickBot="1" x14ac:dyDescent="0.35">
      <c r="A8" s="57"/>
      <c r="B8" s="58" t="s">
        <v>64</v>
      </c>
      <c r="C8" s="58" t="s">
        <v>64</v>
      </c>
      <c r="D8" s="58" t="s">
        <v>64</v>
      </c>
      <c r="E8" s="58"/>
      <c r="F8" s="58"/>
      <c r="G8" s="58"/>
      <c r="H8" s="59"/>
      <c r="I8" s="60"/>
      <c r="J8" s="58"/>
      <c r="K8" s="58"/>
      <c r="L8" s="61"/>
      <c r="M8" s="61"/>
      <c r="N8" s="58"/>
      <c r="O8" s="58"/>
      <c r="P8" s="58"/>
      <c r="Q8" s="59"/>
      <c r="R8" s="60"/>
      <c r="S8" s="58"/>
      <c r="T8" s="58"/>
      <c r="U8" s="58"/>
      <c r="V8" s="58"/>
      <c r="W8" s="58"/>
      <c r="X8" s="59"/>
      <c r="Y8" s="62" t="s">
        <v>109</v>
      </c>
      <c r="Z8" s="58"/>
      <c r="AA8" s="58"/>
      <c r="AB8" s="61"/>
      <c r="AC8" s="62"/>
      <c r="AD8" s="58"/>
      <c r="AE8" s="58"/>
      <c r="AF8" s="58"/>
      <c r="AG8" s="58"/>
      <c r="AH8" s="58"/>
      <c r="AI8" s="58"/>
      <c r="AJ8" s="58"/>
      <c r="AK8" s="58"/>
      <c r="AL8" s="58"/>
      <c r="AM8" s="63"/>
      <c r="AN8" s="58"/>
      <c r="AO8" s="58"/>
      <c r="AP8" s="58"/>
      <c r="AQ8" s="58"/>
      <c r="AR8" s="58"/>
      <c r="AS8" s="63"/>
      <c r="AT8" s="58"/>
      <c r="AU8" s="58"/>
      <c r="AV8" s="58"/>
      <c r="AW8" s="58"/>
      <c r="AX8" s="58"/>
      <c r="AY8" s="64"/>
      <c r="AZ8" s="58"/>
      <c r="BA8" s="59"/>
      <c r="BB8" s="65"/>
      <c r="BC8" s="7"/>
      <c r="BD8" s="1"/>
      <c r="BM8" s="66" t="s">
        <v>65</v>
      </c>
    </row>
    <row r="9" spans="1:71" ht="14" thickTop="1" thickBot="1" x14ac:dyDescent="0.35">
      <c r="A9" s="67"/>
      <c r="B9" s="68"/>
      <c r="C9" s="68"/>
      <c r="D9" s="68"/>
      <c r="E9" s="68"/>
      <c r="F9" s="68"/>
      <c r="G9" s="68"/>
      <c r="H9" s="69"/>
      <c r="I9" s="70"/>
      <c r="J9" s="68"/>
      <c r="K9" s="68"/>
      <c r="L9" s="68"/>
      <c r="M9" s="68"/>
      <c r="N9" s="68"/>
      <c r="O9" s="68"/>
      <c r="P9" s="68"/>
      <c r="Q9" s="69"/>
      <c r="R9" s="70"/>
      <c r="S9" s="68"/>
      <c r="T9" s="68"/>
      <c r="U9" s="68"/>
      <c r="V9" s="68"/>
      <c r="W9" s="68"/>
      <c r="X9" s="69"/>
      <c r="Y9" s="71"/>
      <c r="Z9" s="68"/>
      <c r="AA9" s="68"/>
      <c r="AB9" s="68"/>
      <c r="AC9" s="68"/>
      <c r="AD9" s="68"/>
      <c r="AE9" s="68"/>
      <c r="AF9" s="68"/>
      <c r="AG9" s="68"/>
      <c r="AH9" s="68"/>
      <c r="AI9" s="72" t="s">
        <v>66</v>
      </c>
      <c r="AJ9" s="68"/>
      <c r="AK9" s="68"/>
      <c r="AL9" s="68"/>
      <c r="AM9" s="70"/>
      <c r="AN9" s="68"/>
      <c r="AO9" s="68"/>
      <c r="AP9" s="68"/>
      <c r="AQ9" s="68"/>
      <c r="AR9" s="68"/>
      <c r="AS9" s="70"/>
      <c r="AT9" s="68"/>
      <c r="AU9" s="68"/>
      <c r="AV9" s="68"/>
      <c r="AW9" s="68"/>
      <c r="AX9" s="68"/>
      <c r="AY9" s="70"/>
      <c r="AZ9" s="68"/>
      <c r="BA9" s="69"/>
      <c r="BB9" s="73"/>
      <c r="BC9" s="7"/>
      <c r="BD9" s="1"/>
      <c r="BG9" s="9" t="s">
        <v>67</v>
      </c>
      <c r="BH9" s="74" t="s">
        <v>68</v>
      </c>
      <c r="BI9" s="9" t="s">
        <v>69</v>
      </c>
      <c r="BJ9" s="9" t="s">
        <v>70</v>
      </c>
      <c r="BK9" s="9" t="s">
        <v>71</v>
      </c>
      <c r="BM9" s="66" t="s">
        <v>72</v>
      </c>
      <c r="BN9" s="9" t="s">
        <v>73</v>
      </c>
      <c r="BO9" s="74" t="s">
        <v>74</v>
      </c>
      <c r="BP9" s="9" t="s">
        <v>75</v>
      </c>
      <c r="BQ9" s="9" t="s">
        <v>76</v>
      </c>
      <c r="BR9" s="9" t="s">
        <v>71</v>
      </c>
    </row>
    <row r="10" spans="1:71" ht="13.5" thickTop="1" x14ac:dyDescent="0.3">
      <c r="A10" s="75" t="s">
        <v>77</v>
      </c>
      <c r="B10" s="76">
        <v>2584139.9</v>
      </c>
      <c r="C10" s="76">
        <v>404745.6</v>
      </c>
      <c r="D10" s="76">
        <v>2584139.9</v>
      </c>
      <c r="E10" s="77">
        <f>IF(AND(B10=0,D10=0),0,B10/(IF(C10&gt;0,C10,0)+D10))</f>
        <v>0.86458310296597174</v>
      </c>
      <c r="F10" s="78">
        <f>IF(E10&lt;=1.05,1,0)</f>
        <v>1</v>
      </c>
      <c r="G10" s="79"/>
      <c r="H10" s="80">
        <f t="shared" ref="H10:H36" si="0">F10+G10</f>
        <v>1</v>
      </c>
      <c r="I10" s="76">
        <v>2796139.9</v>
      </c>
      <c r="J10" s="76">
        <v>19846352.5</v>
      </c>
      <c r="K10" s="76">
        <v>14636802.699999999</v>
      </c>
      <c r="L10" s="76">
        <v>372948.6</v>
      </c>
      <c r="M10" s="81">
        <v>0</v>
      </c>
      <c r="N10" s="82">
        <f>(I10)/(J10-K10-L10)</f>
        <v>0.57812082997456959</v>
      </c>
      <c r="O10" s="78">
        <f t="shared" ref="O10:O16" si="1">IF(N10&lt;=1,1,0)</f>
        <v>1</v>
      </c>
      <c r="P10" s="79"/>
      <c r="Q10" s="80">
        <f t="shared" ref="Q10:Q36" si="2">O10+P10</f>
        <v>1</v>
      </c>
      <c r="R10" s="83">
        <v>297582.59999999998</v>
      </c>
      <c r="S10" s="76">
        <v>20686170.699999999</v>
      </c>
      <c r="T10" s="84">
        <v>6239480.2470000004</v>
      </c>
      <c r="U10" s="77">
        <f>R10/(S10-T10)</f>
        <v>2.0598669360857247E-2</v>
      </c>
      <c r="V10" s="78">
        <f t="shared" ref="V10:V16" si="3">IF(U10&lt;=0.15,1,0)</f>
        <v>1</v>
      </c>
      <c r="W10" s="79"/>
      <c r="X10" s="80">
        <f>V10+W10</f>
        <v>1</v>
      </c>
      <c r="Y10" s="76">
        <v>29993.7</v>
      </c>
      <c r="Z10" s="85"/>
      <c r="AA10" s="86">
        <v>34873.300000000003</v>
      </c>
      <c r="AB10" s="87"/>
      <c r="AC10" s="87">
        <v>19580458.100000001</v>
      </c>
      <c r="AD10" s="87">
        <v>14096313.9</v>
      </c>
      <c r="AE10" s="86">
        <v>381143.15</v>
      </c>
      <c r="AF10" s="87">
        <f>AC10-AD10-AE10</f>
        <v>5103001.0500000007</v>
      </c>
      <c r="AG10" s="87">
        <f t="shared" ref="AG10:AG24" si="4">AF10*10%</f>
        <v>510300.1050000001</v>
      </c>
      <c r="AH10" s="87">
        <f t="shared" ref="AH10:AH36" si="5">IF(AA10&gt;0,AA10,0)+AG10+IF(AB10&gt;0,AB10,0)</f>
        <v>545173.40500000014</v>
      </c>
      <c r="AI10" s="88">
        <f t="shared" ref="AI10:AI36" si="6">IF((Y10-IF(Z10&gt;0,Z10,0)-IF(AA10&gt;0,AA10,0)-IF(AB10&gt;0,AB10,0))/(AC10-AD10-AE10)&gt;0,(Y10-IF(Z10&gt;0,Z10,0)-IF(AA10&gt;0,AA10,0)-IF(AB10&gt;0,AB10,0))/(AC10-AD10-AE10),0)</f>
        <v>0</v>
      </c>
      <c r="AJ10" s="89">
        <f>IF(AI10&lt;=0.1,1.5,0)</f>
        <v>1.5</v>
      </c>
      <c r="AK10" s="90"/>
      <c r="AL10" s="91">
        <f t="shared" ref="AL10:AL36" si="7">AJ10+AK10</f>
        <v>1.5</v>
      </c>
      <c r="AM10" s="92"/>
      <c r="AN10" s="90"/>
      <c r="AO10" s="88">
        <v>0.83899999999999997</v>
      </c>
      <c r="AP10" s="93">
        <f>IF(AO10&lt;=1.05,1,0)</f>
        <v>1</v>
      </c>
      <c r="AQ10" s="79"/>
      <c r="AR10" s="94">
        <f t="shared" ref="AR10:AR36" si="8">AP10+AQ10</f>
        <v>1</v>
      </c>
      <c r="AS10" s="92"/>
      <c r="AT10" s="90"/>
      <c r="AU10" s="88">
        <v>0.88600000000000001</v>
      </c>
      <c r="AV10" s="93">
        <f>IF(AU10&lt;=1.05,1,0)</f>
        <v>1</v>
      </c>
      <c r="AW10" s="79"/>
      <c r="AX10" s="94">
        <f t="shared" ref="AX10:AX36" si="9">AV10+AW10</f>
        <v>1</v>
      </c>
      <c r="AY10" s="95"/>
      <c r="AZ10" s="96"/>
      <c r="BA10" s="89">
        <f>AZ10</f>
        <v>0</v>
      </c>
      <c r="BB10" s="97">
        <f>H10+Q10+X10+AL10+BA10+AR10+AX10</f>
        <v>6.5</v>
      </c>
      <c r="BC10" s="98">
        <v>17146147.77</v>
      </c>
      <c r="BD10" s="99">
        <v>934451.47</v>
      </c>
      <c r="BF10" s="100">
        <f t="shared" ref="BF10:BF40" si="10">(AD10+AE10-T10)/(AC10-T10)</f>
        <v>0.61749422671798515</v>
      </c>
      <c r="BG10" s="9">
        <f>IF(($BF10&lt;=10%),1,0)</f>
        <v>0</v>
      </c>
      <c r="BH10" s="101">
        <f>IF(AND(BF10&gt;10%,BF10&lt;30%),1,0)</f>
        <v>0</v>
      </c>
      <c r="BI10" s="101">
        <f>IF(AND(BF10&gt;30%,BF10&lt;70%),1,0)</f>
        <v>1</v>
      </c>
      <c r="BJ10" s="101">
        <f>IF(AND(BF10&gt;70%,BF10&lt;90%),1,0)</f>
        <v>0</v>
      </c>
      <c r="BK10" s="9">
        <f>IF(($BF10&gt;=90%),1,0)</f>
        <v>0</v>
      </c>
      <c r="BM10" s="100">
        <f t="shared" ref="BM10:BM40" si="11">(BD10+L10)/(J10-T10)</f>
        <v>9.6083805718962967E-2</v>
      </c>
      <c r="BN10" s="9">
        <f>IF(($BM10&lt;=4.9%),1,0)</f>
        <v>0</v>
      </c>
      <c r="BO10" s="101">
        <f>IF(AND(BM10&gt;5%,BM10&lt;19.9%),1,0)</f>
        <v>1</v>
      </c>
      <c r="BP10" s="101">
        <f>IF(AND(BM10&gt;20%,BM10&lt;49.9%),1,0)</f>
        <v>0</v>
      </c>
      <c r="BQ10" s="101">
        <f>IF(AND(BM10&gt;50%,BM10&lt;89.9%),1,0)</f>
        <v>0</v>
      </c>
      <c r="BR10" s="9">
        <f>IF((BM10&gt;=90%),1,0)</f>
        <v>0</v>
      </c>
      <c r="BS10" s="100">
        <f>BC10/J10</f>
        <v>0.86394453439240282</v>
      </c>
    </row>
    <row r="11" spans="1:71" s="8" customFormat="1" ht="13" x14ac:dyDescent="0.3">
      <c r="A11" s="105" t="s">
        <v>78</v>
      </c>
      <c r="B11" s="76">
        <v>0</v>
      </c>
      <c r="C11" s="76">
        <v>19578.8</v>
      </c>
      <c r="D11" s="76">
        <v>16500</v>
      </c>
      <c r="E11" s="82">
        <f t="shared" ref="E11:E36" si="12">IF(AND(B11=0,D11=0),0,B11/(IF(C11&gt;0,C11,0)+D11))</f>
        <v>0</v>
      </c>
      <c r="F11" s="102">
        <f t="shared" ref="F11:F17" si="13">IF(E11&lt;=1.05,1,0)</f>
        <v>1</v>
      </c>
      <c r="G11" s="90"/>
      <c r="H11" s="91">
        <f t="shared" si="0"/>
        <v>1</v>
      </c>
      <c r="I11" s="76">
        <v>33000</v>
      </c>
      <c r="J11" s="76">
        <v>2261425.2999999998</v>
      </c>
      <c r="K11" s="76">
        <v>1451248.1</v>
      </c>
      <c r="L11" s="76">
        <v>441128.3</v>
      </c>
      <c r="M11" s="76">
        <v>0</v>
      </c>
      <c r="N11" s="82">
        <f t="shared" ref="N11:N36" si="14">(I11)/(J11-K11-L11)</f>
        <v>8.9419044468090875E-2</v>
      </c>
      <c r="O11" s="102">
        <f t="shared" si="1"/>
        <v>1</v>
      </c>
      <c r="P11" s="90"/>
      <c r="Q11" s="91">
        <f t="shared" si="2"/>
        <v>1</v>
      </c>
      <c r="R11" s="103">
        <v>48</v>
      </c>
      <c r="S11" s="76">
        <v>2281899</v>
      </c>
      <c r="T11" s="84">
        <v>836524.89599999995</v>
      </c>
      <c r="U11" s="82">
        <f t="shared" ref="U11:U36" si="15">R11/(S11-T11)</f>
        <v>3.3209395316522152E-5</v>
      </c>
      <c r="V11" s="102">
        <f t="shared" si="3"/>
        <v>1</v>
      </c>
      <c r="W11" s="90"/>
      <c r="X11" s="91">
        <f t="shared" ref="X11:X36" si="16">V11+W11</f>
        <v>1</v>
      </c>
      <c r="Y11" s="76">
        <v>104274.9</v>
      </c>
      <c r="Z11" s="86"/>
      <c r="AA11" s="86">
        <v>87774.9</v>
      </c>
      <c r="AB11" s="86"/>
      <c r="AC11" s="86">
        <v>2280327.5</v>
      </c>
      <c r="AD11" s="86">
        <v>1364002.3</v>
      </c>
      <c r="AE11" s="86">
        <v>493864.77</v>
      </c>
      <c r="AF11" s="86">
        <f t="shared" ref="AF11:AF36" si="17">AC11-AD11-AE11</f>
        <v>422460.42999999993</v>
      </c>
      <c r="AG11" s="86">
        <f t="shared" si="4"/>
        <v>42246.042999999998</v>
      </c>
      <c r="AH11" s="86">
        <f t="shared" si="5"/>
        <v>130020.943</v>
      </c>
      <c r="AI11" s="104">
        <f t="shared" si="6"/>
        <v>3.9056912383486429E-2</v>
      </c>
      <c r="AJ11" s="89">
        <f t="shared" ref="AJ11:AJ17" si="18">IF(AI11&lt;=0.1,1.5,0)</f>
        <v>1.5</v>
      </c>
      <c r="AK11" s="90"/>
      <c r="AL11" s="91">
        <f t="shared" si="7"/>
        <v>1.5</v>
      </c>
      <c r="AM11" s="92"/>
      <c r="AN11" s="90"/>
      <c r="AO11" s="104">
        <v>0.99199999999999999</v>
      </c>
      <c r="AP11" s="89">
        <f t="shared" ref="AP11:AP17" si="19">IF(AO11&lt;=1.05,1,0)</f>
        <v>1</v>
      </c>
      <c r="AQ11" s="90"/>
      <c r="AR11" s="107">
        <f t="shared" si="8"/>
        <v>1</v>
      </c>
      <c r="AS11" s="92"/>
      <c r="AT11" s="90"/>
      <c r="AU11" s="104">
        <v>0.88800000000000001</v>
      </c>
      <c r="AV11" s="89">
        <f t="shared" ref="AV11:AV17" si="20">IF(AU11&lt;=1.05,1,0)</f>
        <v>1</v>
      </c>
      <c r="AW11" s="90"/>
      <c r="AX11" s="107">
        <f t="shared" si="9"/>
        <v>1</v>
      </c>
      <c r="AY11" s="95"/>
      <c r="AZ11" s="96"/>
      <c r="BA11" s="89">
        <f t="shared" ref="BA11:BA36" si="21">AZ11</f>
        <v>0</v>
      </c>
      <c r="BB11" s="125">
        <f t="shared" ref="BB11:BB40" si="22">H11+Q11+X11+AL11+BA11+AR11+AX11</f>
        <v>6.5</v>
      </c>
      <c r="BC11" s="126">
        <v>1692665.49</v>
      </c>
      <c r="BD11" s="108">
        <v>42722.347000000002</v>
      </c>
      <c r="BF11" s="109">
        <f t="shared" si="10"/>
        <v>0.70739737632444388</v>
      </c>
      <c r="BG11" s="8">
        <f t="shared" ref="BG11:BG40" si="23">IF(($BF11&lt;=10%),1,0)</f>
        <v>0</v>
      </c>
      <c r="BH11" s="110">
        <f t="shared" ref="BH11:BH40" si="24">IF(AND(BF11&gt;10%,BF11&lt;30%),1,0)</f>
        <v>0</v>
      </c>
      <c r="BI11" s="110">
        <f t="shared" ref="BI11:BI40" si="25">IF(AND(BF11&gt;30%,BF11&lt;70%),1,0)</f>
        <v>0</v>
      </c>
      <c r="BJ11" s="110">
        <f t="shared" ref="BJ11:BJ40" si="26">IF(AND(BF11&gt;70%,BF11&lt;90%),1,0)</f>
        <v>1</v>
      </c>
      <c r="BK11" s="8">
        <f t="shared" ref="BK11:BK40" si="27">IF(($BF11&gt;=90%),1,0)</f>
        <v>0</v>
      </c>
      <c r="BM11" s="109">
        <f t="shared" si="11"/>
        <v>0.33956804675030472</v>
      </c>
      <c r="BN11" s="8">
        <f t="shared" ref="BN11:BN40" si="28">IF(($BM11&lt;=4.9%),1,0)</f>
        <v>0</v>
      </c>
      <c r="BO11" s="110">
        <f t="shared" ref="BO11:BO40" si="29">IF(AND(BM11&gt;5%,BM11&lt;19.9%),1,0)</f>
        <v>0</v>
      </c>
      <c r="BP11" s="110">
        <f t="shared" ref="BP11:BP40" si="30">IF(AND(BM11&gt;20%,BM11&lt;49.9%),1,0)</f>
        <v>1</v>
      </c>
      <c r="BQ11" s="110">
        <f t="shared" ref="BQ11:BQ40" si="31">IF(AND(BM11&gt;50%,BM11&lt;89.9%),1,0)</f>
        <v>0</v>
      </c>
      <c r="BR11" s="8">
        <f t="shared" ref="BR11:BR40" si="32">IF((BM11&gt;=90%),1,0)</f>
        <v>0</v>
      </c>
      <c r="BS11" s="109">
        <f t="shared" ref="BS11:BS40" si="33">BC11/J11</f>
        <v>0.74849498234586842</v>
      </c>
    </row>
    <row r="12" spans="1:71" s="8" customFormat="1" ht="13" x14ac:dyDescent="0.3">
      <c r="A12" s="105" t="s">
        <v>79</v>
      </c>
      <c r="B12" s="76">
        <v>0</v>
      </c>
      <c r="C12" s="76">
        <v>7550.9</v>
      </c>
      <c r="D12" s="76">
        <v>13666.7</v>
      </c>
      <c r="E12" s="82">
        <f t="shared" si="12"/>
        <v>0</v>
      </c>
      <c r="F12" s="102">
        <f t="shared" si="13"/>
        <v>1</v>
      </c>
      <c r="G12" s="90"/>
      <c r="H12" s="91">
        <f t="shared" si="0"/>
        <v>1</v>
      </c>
      <c r="I12" s="76">
        <v>27333.3</v>
      </c>
      <c r="J12" s="76">
        <v>2068964.6</v>
      </c>
      <c r="K12" s="76">
        <v>1520101.9</v>
      </c>
      <c r="L12" s="76">
        <v>292798.8</v>
      </c>
      <c r="M12" s="76">
        <v>0</v>
      </c>
      <c r="N12" s="82">
        <f t="shared" si="14"/>
        <v>0.10674405880719609</v>
      </c>
      <c r="O12" s="102">
        <f t="shared" si="1"/>
        <v>1</v>
      </c>
      <c r="P12" s="90"/>
      <c r="Q12" s="91">
        <f t="shared" si="2"/>
        <v>1</v>
      </c>
      <c r="R12" s="103">
        <v>39.799999999999997</v>
      </c>
      <c r="S12" s="76">
        <v>2076515.5</v>
      </c>
      <c r="T12" s="84">
        <v>756133.16399999999</v>
      </c>
      <c r="U12" s="82">
        <f t="shared" si="15"/>
        <v>3.0142784339702037E-5</v>
      </c>
      <c r="V12" s="102">
        <f t="shared" si="3"/>
        <v>1</v>
      </c>
      <c r="W12" s="90"/>
      <c r="X12" s="91">
        <f t="shared" si="16"/>
        <v>1</v>
      </c>
      <c r="Y12" s="76">
        <v>5491.1</v>
      </c>
      <c r="Z12" s="86"/>
      <c r="AA12" s="86">
        <v>-8175.6</v>
      </c>
      <c r="AB12" s="86"/>
      <c r="AC12" s="86">
        <v>1792850.2</v>
      </c>
      <c r="AD12" s="86">
        <v>1269553.3999999999</v>
      </c>
      <c r="AE12" s="86">
        <v>270509.53999999998</v>
      </c>
      <c r="AF12" s="86">
        <f t="shared" si="17"/>
        <v>252787.26000000007</v>
      </c>
      <c r="AG12" s="86">
        <f t="shared" si="4"/>
        <v>25278.72600000001</v>
      </c>
      <c r="AH12" s="86">
        <f t="shared" si="5"/>
        <v>25278.72600000001</v>
      </c>
      <c r="AI12" s="104">
        <f t="shared" si="6"/>
        <v>2.1722218121277153E-2</v>
      </c>
      <c r="AJ12" s="89">
        <f t="shared" si="18"/>
        <v>1.5</v>
      </c>
      <c r="AK12" s="90"/>
      <c r="AL12" s="91">
        <f t="shared" si="7"/>
        <v>1.5</v>
      </c>
      <c r="AM12" s="92"/>
      <c r="AN12" s="90"/>
      <c r="AO12" s="104">
        <v>0.91200000000000003</v>
      </c>
      <c r="AP12" s="89">
        <f t="shared" si="19"/>
        <v>1</v>
      </c>
      <c r="AQ12" s="90"/>
      <c r="AR12" s="107">
        <f t="shared" si="8"/>
        <v>1</v>
      </c>
      <c r="AS12" s="92"/>
      <c r="AT12" s="90"/>
      <c r="AU12" s="104">
        <v>0.84399999999999997</v>
      </c>
      <c r="AV12" s="89">
        <f t="shared" si="20"/>
        <v>1</v>
      </c>
      <c r="AW12" s="90"/>
      <c r="AX12" s="107">
        <f t="shared" si="9"/>
        <v>1</v>
      </c>
      <c r="AY12" s="95"/>
      <c r="AZ12" s="96"/>
      <c r="BA12" s="89">
        <f t="shared" si="21"/>
        <v>0</v>
      </c>
      <c r="BB12" s="125">
        <f t="shared" si="22"/>
        <v>6.5</v>
      </c>
      <c r="BC12" s="126">
        <v>1242984.6599999999</v>
      </c>
      <c r="BD12" s="108">
        <v>11194.516</v>
      </c>
      <c r="BF12" s="109">
        <f t="shared" si="10"/>
        <v>0.75616561586048825</v>
      </c>
      <c r="BG12" s="8">
        <f t="shared" si="23"/>
        <v>0</v>
      </c>
      <c r="BH12" s="110">
        <f t="shared" si="24"/>
        <v>0</v>
      </c>
      <c r="BI12" s="110">
        <f t="shared" si="25"/>
        <v>0</v>
      </c>
      <c r="BJ12" s="110">
        <f t="shared" si="26"/>
        <v>1</v>
      </c>
      <c r="BK12" s="8">
        <f t="shared" si="27"/>
        <v>0</v>
      </c>
      <c r="BM12" s="109">
        <f t="shared" si="11"/>
        <v>0.23155548203981302</v>
      </c>
      <c r="BN12" s="8">
        <f t="shared" si="28"/>
        <v>0</v>
      </c>
      <c r="BO12" s="110">
        <f t="shared" si="29"/>
        <v>0</v>
      </c>
      <c r="BP12" s="110">
        <f t="shared" si="30"/>
        <v>1</v>
      </c>
      <c r="BQ12" s="110">
        <f t="shared" si="31"/>
        <v>0</v>
      </c>
      <c r="BR12" s="8">
        <f t="shared" si="32"/>
        <v>0</v>
      </c>
      <c r="BS12" s="109">
        <f t="shared" si="33"/>
        <v>0.60077618534410882</v>
      </c>
    </row>
    <row r="13" spans="1:71" s="8" customFormat="1" ht="13" x14ac:dyDescent="0.3">
      <c r="A13" s="105" t="s">
        <v>80</v>
      </c>
      <c r="B13" s="76">
        <v>0</v>
      </c>
      <c r="C13" s="76">
        <v>140194.79999999999</v>
      </c>
      <c r="D13" s="76">
        <v>7000</v>
      </c>
      <c r="E13" s="82">
        <f t="shared" si="12"/>
        <v>0</v>
      </c>
      <c r="F13" s="102">
        <f t="shared" si="13"/>
        <v>1</v>
      </c>
      <c r="G13" s="90"/>
      <c r="H13" s="91">
        <f t="shared" si="0"/>
        <v>1</v>
      </c>
      <c r="I13" s="76">
        <v>0</v>
      </c>
      <c r="J13" s="76">
        <v>711631.6</v>
      </c>
      <c r="K13" s="76">
        <v>453770.9</v>
      </c>
      <c r="L13" s="76">
        <v>112474.8</v>
      </c>
      <c r="M13" s="76">
        <v>0</v>
      </c>
      <c r="N13" s="82">
        <f t="shared" si="14"/>
        <v>0</v>
      </c>
      <c r="O13" s="102">
        <f t="shared" si="1"/>
        <v>1</v>
      </c>
      <c r="P13" s="90"/>
      <c r="Q13" s="91">
        <f t="shared" si="2"/>
        <v>1</v>
      </c>
      <c r="R13" s="103">
        <v>1.6</v>
      </c>
      <c r="S13" s="76">
        <v>851775.6</v>
      </c>
      <c r="T13" s="84">
        <v>247076.367</v>
      </c>
      <c r="U13" s="82">
        <f t="shared" si="15"/>
        <v>2.6459434917126811E-6</v>
      </c>
      <c r="V13" s="102">
        <f t="shared" si="3"/>
        <v>1</v>
      </c>
      <c r="W13" s="90"/>
      <c r="X13" s="91">
        <f t="shared" si="16"/>
        <v>1</v>
      </c>
      <c r="Y13" s="76">
        <v>16189.1</v>
      </c>
      <c r="Z13" s="86"/>
      <c r="AA13" s="86">
        <v>9189.1</v>
      </c>
      <c r="AB13" s="86"/>
      <c r="AC13" s="86">
        <v>790063.7</v>
      </c>
      <c r="AD13" s="86">
        <v>430334.2</v>
      </c>
      <c r="AE13" s="86">
        <v>158703.79999999999</v>
      </c>
      <c r="AF13" s="86">
        <f t="shared" si="17"/>
        <v>201025.69999999995</v>
      </c>
      <c r="AG13" s="86">
        <f>AF13*5%</f>
        <v>10051.284999999998</v>
      </c>
      <c r="AH13" s="86">
        <f t="shared" si="5"/>
        <v>19240.384999999998</v>
      </c>
      <c r="AI13" s="104">
        <f t="shared" si="6"/>
        <v>3.4821418355961462E-2</v>
      </c>
      <c r="AJ13" s="89">
        <f t="shared" si="18"/>
        <v>1.5</v>
      </c>
      <c r="AK13" s="106"/>
      <c r="AL13" s="91">
        <f t="shared" si="7"/>
        <v>1.5</v>
      </c>
      <c r="AM13" s="92"/>
      <c r="AN13" s="90"/>
      <c r="AO13" s="104">
        <v>0.89500000000000002</v>
      </c>
      <c r="AP13" s="89">
        <f t="shared" si="19"/>
        <v>1</v>
      </c>
      <c r="AQ13" s="106"/>
      <c r="AR13" s="107">
        <f t="shared" si="8"/>
        <v>1</v>
      </c>
      <c r="AS13" s="92"/>
      <c r="AT13" s="90"/>
      <c r="AU13" s="104">
        <v>0.90100000000000002</v>
      </c>
      <c r="AV13" s="89">
        <f t="shared" si="20"/>
        <v>1</v>
      </c>
      <c r="AW13" s="106"/>
      <c r="AX13" s="107">
        <f t="shared" si="9"/>
        <v>1</v>
      </c>
      <c r="AY13" s="95"/>
      <c r="AZ13" s="96"/>
      <c r="BA13" s="89">
        <f t="shared" si="21"/>
        <v>0</v>
      </c>
      <c r="BB13" s="125">
        <f t="shared" si="22"/>
        <v>6.5</v>
      </c>
      <c r="BC13" s="126">
        <v>506242.72</v>
      </c>
      <c r="BD13" s="108">
        <v>28656.571</v>
      </c>
      <c r="BF13" s="109">
        <f t="shared" si="10"/>
        <v>0.62977828803236569</v>
      </c>
      <c r="BG13" s="8">
        <f t="shared" si="23"/>
        <v>0</v>
      </c>
      <c r="BH13" s="110">
        <f t="shared" si="24"/>
        <v>0</v>
      </c>
      <c r="BI13" s="110">
        <f t="shared" si="25"/>
        <v>1</v>
      </c>
      <c r="BJ13" s="110">
        <f t="shared" si="26"/>
        <v>0</v>
      </c>
      <c r="BK13" s="8">
        <f t="shared" si="27"/>
        <v>0</v>
      </c>
      <c r="BM13" s="109">
        <f t="shared" si="11"/>
        <v>0.30379890479029437</v>
      </c>
      <c r="BN13" s="8">
        <f t="shared" si="28"/>
        <v>0</v>
      </c>
      <c r="BO13" s="110">
        <f t="shared" si="29"/>
        <v>0</v>
      </c>
      <c r="BP13" s="110">
        <f t="shared" si="30"/>
        <v>1</v>
      </c>
      <c r="BQ13" s="110">
        <f t="shared" si="31"/>
        <v>0</v>
      </c>
      <c r="BR13" s="8">
        <f t="shared" si="32"/>
        <v>0</v>
      </c>
      <c r="BS13" s="109">
        <f t="shared" si="33"/>
        <v>0.71138313700515832</v>
      </c>
    </row>
    <row r="14" spans="1:71" s="8" customFormat="1" ht="13" x14ac:dyDescent="0.3">
      <c r="A14" s="105" t="s">
        <v>81</v>
      </c>
      <c r="B14" s="76">
        <v>0</v>
      </c>
      <c r="C14" s="76">
        <v>7780.2</v>
      </c>
      <c r="D14" s="76">
        <v>6500</v>
      </c>
      <c r="E14" s="82">
        <f>IF(AND(B14=0,D14=0),0,B14/(IF(C14&gt;0,C14,0)+D14))</f>
        <v>0</v>
      </c>
      <c r="F14" s="102">
        <f>IF(E14&lt;=1.05,1,0)</f>
        <v>1</v>
      </c>
      <c r="G14" s="90"/>
      <c r="H14" s="91">
        <f>F14+G14</f>
        <v>1</v>
      </c>
      <c r="I14" s="76">
        <v>13000</v>
      </c>
      <c r="J14" s="76">
        <v>573109.19999999995</v>
      </c>
      <c r="K14" s="76">
        <v>417078.9</v>
      </c>
      <c r="L14" s="76">
        <v>88955.1</v>
      </c>
      <c r="M14" s="76">
        <v>0</v>
      </c>
      <c r="N14" s="82">
        <f t="shared" si="14"/>
        <v>0.19381231811459398</v>
      </c>
      <c r="O14" s="102">
        <f>IF(N14&lt;=1,1,0)</f>
        <v>1</v>
      </c>
      <c r="P14" s="90"/>
      <c r="Q14" s="91">
        <f>O14+P14</f>
        <v>1</v>
      </c>
      <c r="R14" s="103">
        <v>15</v>
      </c>
      <c r="S14" s="76">
        <v>580889.30000000005</v>
      </c>
      <c r="T14" s="84">
        <v>186716.13699999999</v>
      </c>
      <c r="U14" s="82">
        <f>R14/(S14-T14)</f>
        <v>3.8054341106931213E-5</v>
      </c>
      <c r="V14" s="102">
        <f>IF(U14&lt;=0.15,1,0)</f>
        <v>1</v>
      </c>
      <c r="W14" s="90"/>
      <c r="X14" s="91">
        <f>V14+W14</f>
        <v>1</v>
      </c>
      <c r="Y14" s="76">
        <v>31540.3</v>
      </c>
      <c r="Z14" s="86"/>
      <c r="AA14" s="86">
        <v>25040.3</v>
      </c>
      <c r="AB14" s="86"/>
      <c r="AC14" s="86">
        <v>581768.9</v>
      </c>
      <c r="AD14" s="86">
        <v>407190.3</v>
      </c>
      <c r="AE14" s="86">
        <v>98977.12</v>
      </c>
      <c r="AF14" s="86">
        <f>AC14-AD14-AE14</f>
        <v>75601.48000000004</v>
      </c>
      <c r="AG14" s="86">
        <f>AF14*10%</f>
        <v>7560.1480000000047</v>
      </c>
      <c r="AH14" s="86">
        <f t="shared" si="5"/>
        <v>32600.448000000004</v>
      </c>
      <c r="AI14" s="104">
        <f>IF((Y14-IF(Z14&gt;0,Z14,0)-IF(AA14&gt;0,AA14,0)-IF(AB14&gt;0,AB14,0))/(AC14-AD14-AE14)&gt;0,(Y14-IF(Z14&gt;0,Z14,0)-IF(AA14&gt;0,AA14,0)-IF(AB14&gt;0,AB14,0))/(AC14-AD14-AE14),0)</f>
        <v>8.5977152828225017E-2</v>
      </c>
      <c r="AJ14" s="89">
        <f>IF(AI14&lt;=0.1,1.5,0)</f>
        <v>1.5</v>
      </c>
      <c r="AK14" s="90"/>
      <c r="AL14" s="91">
        <f>AJ14+AK14</f>
        <v>1.5</v>
      </c>
      <c r="AM14" s="92"/>
      <c r="AN14" s="90"/>
      <c r="AO14" s="104">
        <v>0.89600000000000002</v>
      </c>
      <c r="AP14" s="89">
        <f>IF(AO14&lt;=1.05,1,0)</f>
        <v>1</v>
      </c>
      <c r="AQ14" s="90"/>
      <c r="AR14" s="107">
        <f>AP14+AQ14</f>
        <v>1</v>
      </c>
      <c r="AS14" s="92"/>
      <c r="AT14" s="90"/>
      <c r="AU14" s="104">
        <v>0.91</v>
      </c>
      <c r="AV14" s="89">
        <f>IF(AU14&lt;=1.05,1,0)</f>
        <v>1</v>
      </c>
      <c r="AW14" s="90"/>
      <c r="AX14" s="107">
        <f>AV14+AW14</f>
        <v>1</v>
      </c>
      <c r="AY14" s="95"/>
      <c r="AZ14" s="96"/>
      <c r="BA14" s="89">
        <f>AZ14</f>
        <v>0</v>
      </c>
      <c r="BB14" s="125">
        <f t="shared" si="22"/>
        <v>6.5</v>
      </c>
      <c r="BC14" s="126">
        <v>963426.17</v>
      </c>
      <c r="BD14" s="108">
        <v>27677.721000000001</v>
      </c>
      <c r="BF14" s="109">
        <f t="shared" si="10"/>
        <v>0.80862941085163342</v>
      </c>
      <c r="BG14" s="8">
        <f>IF(($BF14&lt;=10%),1,0)</f>
        <v>0</v>
      </c>
      <c r="BH14" s="110">
        <f>IF(AND(BF14&gt;10%,BF14&lt;30%),1,0)</f>
        <v>0</v>
      </c>
      <c r="BI14" s="110">
        <f>IF(AND(BF14&gt;30%,BF14&lt;70%),1,0)</f>
        <v>0</v>
      </c>
      <c r="BJ14" s="110">
        <f>IF(AND(BF14&gt;70%,BF14&lt;90%),1,0)</f>
        <v>1</v>
      </c>
      <c r="BK14" s="8">
        <f>IF(($BF14&gt;=90%),1,0)</f>
        <v>0</v>
      </c>
      <c r="BM14" s="109">
        <f t="shared" si="11"/>
        <v>0.30185019393062973</v>
      </c>
      <c r="BN14" s="8">
        <f>IF(($BM14&lt;=4.9%),1,0)</f>
        <v>0</v>
      </c>
      <c r="BO14" s="110">
        <f>IF(AND(BM14&gt;5%,BM14&lt;19.9%),1,0)</f>
        <v>0</v>
      </c>
      <c r="BP14" s="110">
        <f>IF(AND(BM14&gt;20%,BM14&lt;49.9%),1,0)</f>
        <v>1</v>
      </c>
      <c r="BQ14" s="110">
        <f>IF(AND(BM14&gt;50%,BM14&lt;89.9%),1,0)</f>
        <v>0</v>
      </c>
      <c r="BR14" s="8">
        <f>IF((BM14&gt;=90%),1,0)</f>
        <v>0</v>
      </c>
      <c r="BS14" s="109">
        <f t="shared" si="33"/>
        <v>1.681051656473147</v>
      </c>
    </row>
    <row r="15" spans="1:71" s="8" customFormat="1" ht="13" x14ac:dyDescent="0.3">
      <c r="A15" s="105" t="s">
        <v>82</v>
      </c>
      <c r="B15" s="76">
        <v>0</v>
      </c>
      <c r="C15" s="76">
        <v>62130.400000000001</v>
      </c>
      <c r="D15" s="76">
        <v>0</v>
      </c>
      <c r="E15" s="82">
        <f>IF(AND(B15=0,D15=0),0,B15/(IF(C15&gt;0,C15,0)+D15))</f>
        <v>0</v>
      </c>
      <c r="F15" s="102">
        <f>IF(E15&lt;=1.05,1,0)</f>
        <v>1</v>
      </c>
      <c r="G15" s="90"/>
      <c r="H15" s="91">
        <f>F15+G15</f>
        <v>1</v>
      </c>
      <c r="I15" s="76">
        <v>0</v>
      </c>
      <c r="J15" s="76">
        <v>661705.5</v>
      </c>
      <c r="K15" s="76">
        <v>476053.6</v>
      </c>
      <c r="L15" s="76">
        <v>118462.8</v>
      </c>
      <c r="M15" s="76">
        <v>0</v>
      </c>
      <c r="N15" s="82">
        <f>(I15)/(J15-K15-L15)</f>
        <v>0</v>
      </c>
      <c r="O15" s="102">
        <f>IF(N15&lt;=1,1,0)</f>
        <v>1</v>
      </c>
      <c r="P15" s="90"/>
      <c r="Q15" s="91">
        <f>O15+P15</f>
        <v>1</v>
      </c>
      <c r="R15" s="103">
        <v>0</v>
      </c>
      <c r="S15" s="76">
        <v>723835.8</v>
      </c>
      <c r="T15" s="84">
        <v>240979.07</v>
      </c>
      <c r="U15" s="82">
        <f>R15/(S15-T15)</f>
        <v>0</v>
      </c>
      <c r="V15" s="102">
        <f>IF(U15&lt;=0.15,1,0)</f>
        <v>1</v>
      </c>
      <c r="W15" s="90"/>
      <c r="X15" s="91">
        <f>V15+W15</f>
        <v>1</v>
      </c>
      <c r="Y15" s="76">
        <v>-56391.5</v>
      </c>
      <c r="Z15" s="86"/>
      <c r="AA15" s="86">
        <v>-56391.5</v>
      </c>
      <c r="AB15" s="86"/>
      <c r="AC15" s="86">
        <v>658605.19999999995</v>
      </c>
      <c r="AD15" s="86">
        <v>474481.9</v>
      </c>
      <c r="AE15" s="86">
        <v>117215.47</v>
      </c>
      <c r="AF15" s="86">
        <f>AC15-AD15-AE15</f>
        <v>66907.829999999929</v>
      </c>
      <c r="AG15" s="86">
        <f>AF15*10%</f>
        <v>6690.7829999999931</v>
      </c>
      <c r="AH15" s="86">
        <f t="shared" si="5"/>
        <v>6690.7829999999931</v>
      </c>
      <c r="AI15" s="104">
        <f>IF((Y15-IF(Z15&gt;0,Z15,0)-IF(AA15&gt;0,AA15,0)-IF(AB15&gt;0,AB15,0))/(AC15-AD15-AE15)&gt;0,(Y15-IF(Z15&gt;0,Z15,0)-IF(AA15&gt;0,AA15,0)-IF(AB15&gt;0,AB15,0))/(AC15-AD15-AE15),0)</f>
        <v>0</v>
      </c>
      <c r="AJ15" s="89">
        <f>IF(AI15&lt;=0.1,1.5,0)</f>
        <v>1.5</v>
      </c>
      <c r="AK15" s="90"/>
      <c r="AL15" s="91">
        <f>AJ15+AK15</f>
        <v>1.5</v>
      </c>
      <c r="AM15" s="92"/>
      <c r="AN15" s="90"/>
      <c r="AO15" s="104">
        <v>0.96799999999999997</v>
      </c>
      <c r="AP15" s="89">
        <f>IF(AO15&lt;=1.05,1,0)</f>
        <v>1</v>
      </c>
      <c r="AQ15" s="90"/>
      <c r="AR15" s="107">
        <f>AP15+AQ15</f>
        <v>1</v>
      </c>
      <c r="AS15" s="92"/>
      <c r="AT15" s="90"/>
      <c r="AU15" s="104">
        <v>1</v>
      </c>
      <c r="AV15" s="89">
        <f>IF(AU15&lt;=1.05,1,0)</f>
        <v>1</v>
      </c>
      <c r="AW15" s="90"/>
      <c r="AX15" s="107">
        <f>AV15+AW15</f>
        <v>1</v>
      </c>
      <c r="AY15" s="95"/>
      <c r="AZ15" s="96"/>
      <c r="BA15" s="89">
        <f>AZ15</f>
        <v>0</v>
      </c>
      <c r="BB15" s="125">
        <f t="shared" si="22"/>
        <v>6.5</v>
      </c>
      <c r="BC15" s="126">
        <v>549905.17000000004</v>
      </c>
      <c r="BD15" s="108">
        <v>41296.51</v>
      </c>
      <c r="BF15" s="109">
        <f t="shared" si="10"/>
        <v>0.83979012520121776</v>
      </c>
      <c r="BG15" s="8">
        <f t="shared" si="23"/>
        <v>0</v>
      </c>
      <c r="BH15" s="110">
        <f t="shared" si="24"/>
        <v>0</v>
      </c>
      <c r="BI15" s="110">
        <f t="shared" si="25"/>
        <v>0</v>
      </c>
      <c r="BJ15" s="110">
        <f t="shared" si="26"/>
        <v>1</v>
      </c>
      <c r="BK15" s="8">
        <f t="shared" si="27"/>
        <v>0</v>
      </c>
      <c r="BM15" s="109">
        <f t="shared" si="11"/>
        <v>0.37972254322125665</v>
      </c>
      <c r="BN15" s="8">
        <f t="shared" si="28"/>
        <v>0</v>
      </c>
      <c r="BO15" s="110">
        <f t="shared" si="29"/>
        <v>0</v>
      </c>
      <c r="BP15" s="110">
        <f t="shared" si="30"/>
        <v>1</v>
      </c>
      <c r="BQ15" s="110">
        <f t="shared" si="31"/>
        <v>0</v>
      </c>
      <c r="BR15" s="8">
        <f t="shared" si="32"/>
        <v>0</v>
      </c>
      <c r="BS15" s="109">
        <f t="shared" si="33"/>
        <v>0.83104216301662903</v>
      </c>
    </row>
    <row r="16" spans="1:71" s="8" customFormat="1" ht="13" x14ac:dyDescent="0.3">
      <c r="A16" s="105" t="s">
        <v>83</v>
      </c>
      <c r="B16" s="76">
        <v>0</v>
      </c>
      <c r="C16" s="76">
        <v>370043.6</v>
      </c>
      <c r="D16" s="76">
        <v>18333.3</v>
      </c>
      <c r="E16" s="82">
        <f t="shared" si="12"/>
        <v>0</v>
      </c>
      <c r="F16" s="102">
        <f t="shared" si="13"/>
        <v>1</v>
      </c>
      <c r="G16" s="90"/>
      <c r="H16" s="91">
        <f t="shared" si="0"/>
        <v>1</v>
      </c>
      <c r="I16" s="76">
        <v>36666.699999999997</v>
      </c>
      <c r="J16" s="76">
        <v>3132009.6</v>
      </c>
      <c r="K16" s="76">
        <v>2274303.7000000002</v>
      </c>
      <c r="L16" s="76">
        <v>381462.6</v>
      </c>
      <c r="M16" s="76">
        <v>0</v>
      </c>
      <c r="N16" s="82">
        <f t="shared" si="14"/>
        <v>7.6991529329651462E-2</v>
      </c>
      <c r="O16" s="102">
        <f t="shared" si="1"/>
        <v>1</v>
      </c>
      <c r="P16" s="90"/>
      <c r="Q16" s="91">
        <f t="shared" si="2"/>
        <v>1</v>
      </c>
      <c r="R16" s="103">
        <v>39.780830000000002</v>
      </c>
      <c r="S16" s="76">
        <v>3502053.2</v>
      </c>
      <c r="T16" s="84">
        <v>1163983.0449999999</v>
      </c>
      <c r="U16" s="82">
        <f t="shared" si="15"/>
        <v>1.7014386807396717E-5</v>
      </c>
      <c r="V16" s="102">
        <f t="shared" si="3"/>
        <v>1</v>
      </c>
      <c r="W16" s="90"/>
      <c r="X16" s="91">
        <f t="shared" si="16"/>
        <v>1</v>
      </c>
      <c r="Y16" s="76">
        <v>-294407.2</v>
      </c>
      <c r="Z16" s="86"/>
      <c r="AA16" s="86">
        <v>-312740.5</v>
      </c>
      <c r="AB16" s="86"/>
      <c r="AC16" s="86">
        <v>3109599.1</v>
      </c>
      <c r="AD16" s="86">
        <v>2243770.7000000002</v>
      </c>
      <c r="AE16" s="86">
        <v>380638.18</v>
      </c>
      <c r="AF16" s="86">
        <f t="shared" si="17"/>
        <v>485190.21999999991</v>
      </c>
      <c r="AG16" s="86">
        <f t="shared" si="4"/>
        <v>48519.021999999997</v>
      </c>
      <c r="AH16" s="86">
        <f t="shared" si="5"/>
        <v>48519.021999999997</v>
      </c>
      <c r="AI16" s="104">
        <f t="shared" si="6"/>
        <v>0</v>
      </c>
      <c r="AJ16" s="89">
        <f t="shared" si="18"/>
        <v>1.5</v>
      </c>
      <c r="AK16" s="90"/>
      <c r="AL16" s="91">
        <f t="shared" si="7"/>
        <v>1.5</v>
      </c>
      <c r="AM16" s="92"/>
      <c r="AN16" s="90"/>
      <c r="AO16" s="104">
        <v>0.91700000000000004</v>
      </c>
      <c r="AP16" s="89">
        <f t="shared" ref="AP16:AP22" si="34">IF(AO16&lt;=1.05,1,0)</f>
        <v>1</v>
      </c>
      <c r="AQ16" s="90"/>
      <c r="AR16" s="107">
        <f t="shared" ref="AR16:AR40" si="35">AP16+AQ16</f>
        <v>1</v>
      </c>
      <c r="AS16" s="92"/>
      <c r="AT16" s="90"/>
      <c r="AU16" s="104">
        <v>0.90100000000000002</v>
      </c>
      <c r="AV16" s="89">
        <f t="shared" ref="AV16:AV22" si="36">IF(AU16&lt;=1.05,1,0)</f>
        <v>1</v>
      </c>
      <c r="AW16" s="90"/>
      <c r="AX16" s="107">
        <f t="shared" ref="AX16:AX40" si="37">AV16+AW16</f>
        <v>1</v>
      </c>
      <c r="AY16" s="95"/>
      <c r="AZ16" s="96"/>
      <c r="BA16" s="89">
        <f t="shared" si="21"/>
        <v>0</v>
      </c>
      <c r="BB16" s="125">
        <f t="shared" si="22"/>
        <v>6.5</v>
      </c>
      <c r="BC16" s="126">
        <v>3574750.79</v>
      </c>
      <c r="BD16" s="108">
        <v>28012.954000000002</v>
      </c>
      <c r="BF16" s="109">
        <f t="shared" si="10"/>
        <v>0.75062386088297384</v>
      </c>
      <c r="BG16" s="8">
        <f t="shared" si="23"/>
        <v>0</v>
      </c>
      <c r="BH16" s="110">
        <f t="shared" si="24"/>
        <v>0</v>
      </c>
      <c r="BI16" s="110">
        <f t="shared" si="25"/>
        <v>0</v>
      </c>
      <c r="BJ16" s="110">
        <f t="shared" si="26"/>
        <v>1</v>
      </c>
      <c r="BK16" s="8">
        <f t="shared" si="27"/>
        <v>0</v>
      </c>
      <c r="BM16" s="109">
        <f t="shared" si="11"/>
        <v>0.20806403905459495</v>
      </c>
      <c r="BN16" s="8">
        <f t="shared" si="28"/>
        <v>0</v>
      </c>
      <c r="BO16" s="110">
        <f t="shared" si="29"/>
        <v>0</v>
      </c>
      <c r="BP16" s="110">
        <f t="shared" si="30"/>
        <v>1</v>
      </c>
      <c r="BQ16" s="110">
        <f t="shared" si="31"/>
        <v>0</v>
      </c>
      <c r="BR16" s="8">
        <f t="shared" si="32"/>
        <v>0</v>
      </c>
      <c r="BS16" s="109">
        <f t="shared" si="33"/>
        <v>1.1413600999179567</v>
      </c>
    </row>
    <row r="17" spans="1:71" s="8" customFormat="1" ht="13" x14ac:dyDescent="0.3">
      <c r="A17" s="105" t="s">
        <v>84</v>
      </c>
      <c r="B17" s="76">
        <v>0</v>
      </c>
      <c r="C17" s="76">
        <v>30691.5</v>
      </c>
      <c r="D17" s="76">
        <v>0</v>
      </c>
      <c r="E17" s="82">
        <f t="shared" si="12"/>
        <v>0</v>
      </c>
      <c r="F17" s="102">
        <f t="shared" si="13"/>
        <v>1</v>
      </c>
      <c r="G17" s="90"/>
      <c r="H17" s="91">
        <f t="shared" si="0"/>
        <v>1</v>
      </c>
      <c r="I17" s="76">
        <v>0</v>
      </c>
      <c r="J17" s="76">
        <v>745290</v>
      </c>
      <c r="K17" s="76">
        <v>490427</v>
      </c>
      <c r="L17" s="76">
        <v>85325.1</v>
      </c>
      <c r="M17" s="76">
        <v>0</v>
      </c>
      <c r="N17" s="82">
        <f t="shared" si="14"/>
        <v>0</v>
      </c>
      <c r="O17" s="102">
        <f>IF(N17&lt;=1,1,0)</f>
        <v>1</v>
      </c>
      <c r="P17" s="90"/>
      <c r="Q17" s="91">
        <f t="shared" si="2"/>
        <v>1</v>
      </c>
      <c r="R17" s="103">
        <v>0</v>
      </c>
      <c r="S17" s="76">
        <v>781476.9</v>
      </c>
      <c r="T17" s="84">
        <v>283236.96500000003</v>
      </c>
      <c r="U17" s="82">
        <f t="shared" si="15"/>
        <v>0</v>
      </c>
      <c r="V17" s="102">
        <f>IF(U17&lt;=0.15,1,0)</f>
        <v>1</v>
      </c>
      <c r="W17" s="90"/>
      <c r="X17" s="91">
        <f t="shared" si="16"/>
        <v>1</v>
      </c>
      <c r="Y17" s="76">
        <v>-8223.7999999999993</v>
      </c>
      <c r="Z17" s="86"/>
      <c r="AA17" s="86">
        <v>-8223.7999999999993</v>
      </c>
      <c r="AB17" s="86"/>
      <c r="AC17" s="86">
        <v>759821.3</v>
      </c>
      <c r="AD17" s="86">
        <v>493304.8</v>
      </c>
      <c r="AE17" s="86">
        <v>90169.49</v>
      </c>
      <c r="AF17" s="86">
        <f t="shared" si="17"/>
        <v>176347.01000000007</v>
      </c>
      <c r="AG17" s="86">
        <f t="shared" si="4"/>
        <v>17634.701000000008</v>
      </c>
      <c r="AH17" s="86">
        <f t="shared" si="5"/>
        <v>17634.701000000008</v>
      </c>
      <c r="AI17" s="104">
        <f t="shared" si="6"/>
        <v>0</v>
      </c>
      <c r="AJ17" s="89">
        <f t="shared" si="18"/>
        <v>1.5</v>
      </c>
      <c r="AK17" s="90"/>
      <c r="AL17" s="91">
        <f t="shared" si="7"/>
        <v>1.5</v>
      </c>
      <c r="AM17" s="92"/>
      <c r="AN17" s="90"/>
      <c r="AO17" s="104">
        <v>0.9</v>
      </c>
      <c r="AP17" s="89">
        <f t="shared" si="34"/>
        <v>1</v>
      </c>
      <c r="AQ17" s="90"/>
      <c r="AR17" s="107">
        <f t="shared" si="35"/>
        <v>1</v>
      </c>
      <c r="AS17" s="92"/>
      <c r="AT17" s="90"/>
      <c r="AU17" s="104">
        <v>0.89400000000000002</v>
      </c>
      <c r="AV17" s="89">
        <f t="shared" si="36"/>
        <v>1</v>
      </c>
      <c r="AW17" s="90"/>
      <c r="AX17" s="107">
        <f t="shared" si="37"/>
        <v>1</v>
      </c>
      <c r="AY17" s="95"/>
      <c r="AZ17" s="96"/>
      <c r="BA17" s="89">
        <f t="shared" si="21"/>
        <v>0</v>
      </c>
      <c r="BB17" s="125">
        <f t="shared" si="22"/>
        <v>6.5</v>
      </c>
      <c r="BC17" s="126">
        <v>590694.81000000006</v>
      </c>
      <c r="BD17" s="108">
        <v>16814.179</v>
      </c>
      <c r="BF17" s="109">
        <f t="shared" si="10"/>
        <v>0.62997732604870449</v>
      </c>
      <c r="BG17" s="8">
        <f t="shared" si="23"/>
        <v>0</v>
      </c>
      <c r="BH17" s="110">
        <f t="shared" si="24"/>
        <v>0</v>
      </c>
      <c r="BI17" s="110">
        <f t="shared" si="25"/>
        <v>1</v>
      </c>
      <c r="BJ17" s="110">
        <f t="shared" si="26"/>
        <v>0</v>
      </c>
      <c r="BK17" s="8">
        <f t="shared" si="27"/>
        <v>0</v>
      </c>
      <c r="BM17" s="109">
        <f t="shared" si="11"/>
        <v>0.2210553145701121</v>
      </c>
      <c r="BN17" s="8">
        <f t="shared" si="28"/>
        <v>0</v>
      </c>
      <c r="BO17" s="110">
        <f t="shared" si="29"/>
        <v>0</v>
      </c>
      <c r="BP17" s="110">
        <f t="shared" si="30"/>
        <v>1</v>
      </c>
      <c r="BQ17" s="110">
        <f t="shared" si="31"/>
        <v>0</v>
      </c>
      <c r="BR17" s="8">
        <f t="shared" si="32"/>
        <v>0</v>
      </c>
      <c r="BS17" s="109">
        <f t="shared" si="33"/>
        <v>0.79257042225174101</v>
      </c>
    </row>
    <row r="18" spans="1:71" s="8" customFormat="1" ht="13" x14ac:dyDescent="0.3">
      <c r="A18" s="105" t="s">
        <v>85</v>
      </c>
      <c r="B18" s="76">
        <v>0</v>
      </c>
      <c r="C18" s="76">
        <v>9650.1</v>
      </c>
      <c r="D18" s="76">
        <v>0</v>
      </c>
      <c r="E18" s="82">
        <f t="shared" si="12"/>
        <v>0</v>
      </c>
      <c r="F18" s="102"/>
      <c r="G18" s="90">
        <f>IF(E18&lt;=1.05,1,0)</f>
        <v>1</v>
      </c>
      <c r="H18" s="91">
        <f t="shared" si="0"/>
        <v>1</v>
      </c>
      <c r="I18" s="76">
        <v>0</v>
      </c>
      <c r="J18" s="76">
        <v>334121.09999999998</v>
      </c>
      <c r="K18" s="76">
        <v>265327.59999999998</v>
      </c>
      <c r="L18" s="76">
        <v>38355.9</v>
      </c>
      <c r="M18" s="76">
        <v>0</v>
      </c>
      <c r="N18" s="82">
        <f t="shared" si="14"/>
        <v>0</v>
      </c>
      <c r="O18" s="102"/>
      <c r="P18" s="90">
        <f>IF(N18&lt;=0.5,1,0)</f>
        <v>1</v>
      </c>
      <c r="Q18" s="91">
        <f t="shared" si="2"/>
        <v>1</v>
      </c>
      <c r="R18" s="103">
        <v>0</v>
      </c>
      <c r="S18" s="76">
        <v>343771.3</v>
      </c>
      <c r="T18" s="84">
        <v>155035.943</v>
      </c>
      <c r="U18" s="82">
        <f t="shared" si="15"/>
        <v>0</v>
      </c>
      <c r="V18" s="102"/>
      <c r="W18" s="90">
        <f>IF(U18&lt;=0.15,1,0)</f>
        <v>1</v>
      </c>
      <c r="X18" s="91">
        <f t="shared" si="16"/>
        <v>1</v>
      </c>
      <c r="Y18" s="76">
        <v>11994.5</v>
      </c>
      <c r="Z18" s="86"/>
      <c r="AA18" s="86">
        <v>11994.5</v>
      </c>
      <c r="AB18" s="86"/>
      <c r="AC18" s="86">
        <v>332273.09999999998</v>
      </c>
      <c r="AD18" s="86">
        <v>250632.7</v>
      </c>
      <c r="AE18" s="86">
        <v>45306.64</v>
      </c>
      <c r="AF18" s="86">
        <f t="shared" si="17"/>
        <v>36333.759999999966</v>
      </c>
      <c r="AG18" s="86">
        <f t="shared" si="4"/>
        <v>3633.3759999999966</v>
      </c>
      <c r="AH18" s="86">
        <f t="shared" si="5"/>
        <v>15627.875999999997</v>
      </c>
      <c r="AI18" s="104">
        <f t="shared" si="6"/>
        <v>0</v>
      </c>
      <c r="AJ18" s="89"/>
      <c r="AK18" s="106">
        <f>IF(AI18&lt;=0.05,1.5,0)</f>
        <v>1.5</v>
      </c>
      <c r="AL18" s="91">
        <f t="shared" si="7"/>
        <v>1.5</v>
      </c>
      <c r="AM18" s="92"/>
      <c r="AN18" s="90"/>
      <c r="AO18" s="104">
        <v>0.74099999999999999</v>
      </c>
      <c r="AP18" s="89"/>
      <c r="AQ18" s="106">
        <f>IF(AO18&lt;=1.05,1,0)</f>
        <v>1</v>
      </c>
      <c r="AR18" s="107">
        <f t="shared" si="35"/>
        <v>1</v>
      </c>
      <c r="AS18" s="92"/>
      <c r="AT18" s="90"/>
      <c r="AU18" s="104">
        <v>0.69099999999999995</v>
      </c>
      <c r="AV18" s="89"/>
      <c r="AW18" s="106">
        <f>IF(AU18&lt;=1.05,1,0)</f>
        <v>1</v>
      </c>
      <c r="AX18" s="107">
        <f t="shared" si="37"/>
        <v>1</v>
      </c>
      <c r="AY18" s="95"/>
      <c r="AZ18" s="96"/>
      <c r="BA18" s="89">
        <f t="shared" si="21"/>
        <v>0</v>
      </c>
      <c r="BB18" s="125">
        <f t="shared" si="22"/>
        <v>6.5</v>
      </c>
      <c r="BC18" s="126">
        <v>245880.27</v>
      </c>
      <c r="BD18" s="108">
        <v>35456.451999999997</v>
      </c>
      <c r="BF18" s="109">
        <f t="shared" si="10"/>
        <v>0.79499919421524035</v>
      </c>
      <c r="BG18" s="8">
        <f t="shared" si="23"/>
        <v>0</v>
      </c>
      <c r="BH18" s="110">
        <f t="shared" si="24"/>
        <v>0</v>
      </c>
      <c r="BI18" s="110">
        <f t="shared" si="25"/>
        <v>0</v>
      </c>
      <c r="BJ18" s="110">
        <f t="shared" si="26"/>
        <v>1</v>
      </c>
      <c r="BK18" s="8">
        <f t="shared" si="27"/>
        <v>0</v>
      </c>
      <c r="BM18" s="109">
        <f t="shared" si="11"/>
        <v>0.41216342681040846</v>
      </c>
      <c r="BN18" s="8">
        <f t="shared" si="28"/>
        <v>0</v>
      </c>
      <c r="BO18" s="110">
        <f t="shared" si="29"/>
        <v>0</v>
      </c>
      <c r="BP18" s="110">
        <f t="shared" si="30"/>
        <v>1</v>
      </c>
      <c r="BQ18" s="110">
        <f t="shared" si="31"/>
        <v>0</v>
      </c>
      <c r="BR18" s="8">
        <f t="shared" si="32"/>
        <v>0</v>
      </c>
      <c r="BS18" s="109">
        <f t="shared" si="33"/>
        <v>0.73590165362199511</v>
      </c>
    </row>
    <row r="19" spans="1:71" s="8" customFormat="1" ht="13" x14ac:dyDescent="0.3">
      <c r="A19" s="105" t="s">
        <v>86</v>
      </c>
      <c r="B19" s="76">
        <v>0</v>
      </c>
      <c r="C19" s="76">
        <v>8135.5</v>
      </c>
      <c r="D19" s="76">
        <v>0</v>
      </c>
      <c r="E19" s="82">
        <f t="shared" si="12"/>
        <v>0</v>
      </c>
      <c r="F19" s="102">
        <f>IF(E19&lt;=1.05,1,0)</f>
        <v>1</v>
      </c>
      <c r="G19" s="90"/>
      <c r="H19" s="91">
        <f t="shared" si="0"/>
        <v>1</v>
      </c>
      <c r="I19" s="76">
        <v>0</v>
      </c>
      <c r="J19" s="76">
        <v>646480.19999999995</v>
      </c>
      <c r="K19" s="76">
        <v>471483.7</v>
      </c>
      <c r="L19" s="76">
        <v>117436.1</v>
      </c>
      <c r="M19" s="76">
        <v>0</v>
      </c>
      <c r="N19" s="82">
        <f>(I19)/(J19-K19-L19)</f>
        <v>0</v>
      </c>
      <c r="O19" s="102">
        <f>IF(N19&lt;=1,1,0)</f>
        <v>1</v>
      </c>
      <c r="P19" s="90"/>
      <c r="Q19" s="91">
        <f t="shared" si="2"/>
        <v>1</v>
      </c>
      <c r="R19" s="103">
        <v>0</v>
      </c>
      <c r="S19" s="76">
        <v>654615.69999999995</v>
      </c>
      <c r="T19" s="84">
        <v>263848.50599999999</v>
      </c>
      <c r="U19" s="82">
        <f t="shared" si="15"/>
        <v>0</v>
      </c>
      <c r="V19" s="102">
        <f>IF(U19&lt;=0.15,1,0)</f>
        <v>1</v>
      </c>
      <c r="W19" s="90"/>
      <c r="X19" s="91">
        <f t="shared" si="16"/>
        <v>1</v>
      </c>
      <c r="Y19" s="76">
        <v>7999.2</v>
      </c>
      <c r="Z19" s="86"/>
      <c r="AA19" s="86">
        <v>7999.2</v>
      </c>
      <c r="AB19" s="86"/>
      <c r="AC19" s="86">
        <v>628663.6</v>
      </c>
      <c r="AD19" s="86">
        <v>447153.5</v>
      </c>
      <c r="AE19" s="86">
        <v>121423.58</v>
      </c>
      <c r="AF19" s="86">
        <f t="shared" si="17"/>
        <v>60086.519999999975</v>
      </c>
      <c r="AG19" s="86">
        <f t="shared" si="4"/>
        <v>6008.6519999999982</v>
      </c>
      <c r="AH19" s="86">
        <f t="shared" si="5"/>
        <v>14007.851999999999</v>
      </c>
      <c r="AI19" s="104">
        <f t="shared" si="6"/>
        <v>0</v>
      </c>
      <c r="AJ19" s="89">
        <f>IF(AI19&lt;=0.1,1.5,0)</f>
        <v>1.5</v>
      </c>
      <c r="AK19" s="90"/>
      <c r="AL19" s="91">
        <f t="shared" si="7"/>
        <v>1.5</v>
      </c>
      <c r="AM19" s="92"/>
      <c r="AN19" s="90"/>
      <c r="AO19" s="104">
        <v>0.92200000000000004</v>
      </c>
      <c r="AP19" s="89">
        <f>IF(AO19&lt;=1.05,1,0)</f>
        <v>1</v>
      </c>
      <c r="AQ19" s="90"/>
      <c r="AR19" s="107">
        <f t="shared" si="35"/>
        <v>1</v>
      </c>
      <c r="AS19" s="92"/>
      <c r="AT19" s="90"/>
      <c r="AU19" s="104">
        <v>0.92800000000000005</v>
      </c>
      <c r="AV19" s="89">
        <f>IF(AU19&lt;=1.05,1,0)</f>
        <v>1</v>
      </c>
      <c r="AW19" s="90"/>
      <c r="AX19" s="107">
        <f t="shared" si="37"/>
        <v>1</v>
      </c>
      <c r="AY19" s="95"/>
      <c r="AZ19" s="96"/>
      <c r="BA19" s="89">
        <f t="shared" si="21"/>
        <v>0</v>
      </c>
      <c r="BB19" s="125">
        <f t="shared" si="22"/>
        <v>6.5</v>
      </c>
      <c r="BC19" s="126">
        <v>405776.39</v>
      </c>
      <c r="BD19" s="108">
        <v>26765.723999999998</v>
      </c>
      <c r="BF19" s="109">
        <f t="shared" si="10"/>
        <v>0.83529595954711233</v>
      </c>
      <c r="BG19" s="8">
        <f t="shared" si="23"/>
        <v>0</v>
      </c>
      <c r="BH19" s="110">
        <f t="shared" si="24"/>
        <v>0</v>
      </c>
      <c r="BI19" s="110">
        <f t="shared" si="25"/>
        <v>0</v>
      </c>
      <c r="BJ19" s="110">
        <f t="shared" si="26"/>
        <v>1</v>
      </c>
      <c r="BK19" s="8">
        <f t="shared" si="27"/>
        <v>0</v>
      </c>
      <c r="BM19" s="109">
        <f t="shared" si="11"/>
        <v>0.37686847760185804</v>
      </c>
      <c r="BN19" s="8">
        <f t="shared" si="28"/>
        <v>0</v>
      </c>
      <c r="BO19" s="110">
        <f t="shared" si="29"/>
        <v>0</v>
      </c>
      <c r="BP19" s="110">
        <f t="shared" si="30"/>
        <v>1</v>
      </c>
      <c r="BQ19" s="110">
        <f t="shared" si="31"/>
        <v>0</v>
      </c>
      <c r="BR19" s="8">
        <f t="shared" si="32"/>
        <v>0</v>
      </c>
      <c r="BS19" s="109">
        <f t="shared" si="33"/>
        <v>0.62767025192728265</v>
      </c>
    </row>
    <row r="20" spans="1:71" s="8" customFormat="1" ht="13" x14ac:dyDescent="0.3">
      <c r="A20" s="105" t="s">
        <v>87</v>
      </c>
      <c r="B20" s="76">
        <v>0</v>
      </c>
      <c r="C20" s="76">
        <v>42521.5</v>
      </c>
      <c r="D20" s="76">
        <v>8000</v>
      </c>
      <c r="E20" s="82">
        <f t="shared" si="12"/>
        <v>0</v>
      </c>
      <c r="F20" s="102"/>
      <c r="G20" s="90">
        <f>IF(E20&lt;=1.05,1,0)</f>
        <v>1</v>
      </c>
      <c r="H20" s="91">
        <f t="shared" si="0"/>
        <v>1</v>
      </c>
      <c r="I20" s="76">
        <v>16000</v>
      </c>
      <c r="J20" s="76">
        <v>1607982.1</v>
      </c>
      <c r="K20" s="76">
        <v>1119815.8999999999</v>
      </c>
      <c r="L20" s="76">
        <v>382572.7</v>
      </c>
      <c r="M20" s="76">
        <v>0</v>
      </c>
      <c r="N20" s="82">
        <f t="shared" si="14"/>
        <v>0.15152447830595608</v>
      </c>
      <c r="O20" s="102"/>
      <c r="P20" s="90">
        <f>IF(N20&lt;=0.5,1,0)</f>
        <v>1</v>
      </c>
      <c r="Q20" s="91">
        <f t="shared" si="2"/>
        <v>1</v>
      </c>
      <c r="R20" s="103">
        <v>17.205480000000001</v>
      </c>
      <c r="S20" s="76">
        <v>1650503.6</v>
      </c>
      <c r="T20" s="84">
        <v>765067.78899999999</v>
      </c>
      <c r="U20" s="82">
        <f t="shared" si="15"/>
        <v>1.94316513814461E-5</v>
      </c>
      <c r="V20" s="102"/>
      <c r="W20" s="90">
        <f>IF(U20&lt;=0.15,1,0)</f>
        <v>1</v>
      </c>
      <c r="X20" s="91">
        <f t="shared" si="16"/>
        <v>1</v>
      </c>
      <c r="Y20" s="76">
        <v>-19750.900000000001</v>
      </c>
      <c r="Z20" s="86"/>
      <c r="AA20" s="86">
        <v>-27750.9</v>
      </c>
      <c r="AB20" s="86"/>
      <c r="AC20" s="86">
        <v>1574300.6</v>
      </c>
      <c r="AD20" s="86">
        <v>1074716.8999999999</v>
      </c>
      <c r="AE20" s="86">
        <v>384209.42</v>
      </c>
      <c r="AF20" s="86">
        <f t="shared" si="17"/>
        <v>115374.2800000002</v>
      </c>
      <c r="AG20" s="86">
        <f t="shared" si="4"/>
        <v>11537.428000000022</v>
      </c>
      <c r="AH20" s="86">
        <f t="shared" si="5"/>
        <v>11537.428000000022</v>
      </c>
      <c r="AI20" s="104">
        <f t="shared" si="6"/>
        <v>0</v>
      </c>
      <c r="AJ20" s="89"/>
      <c r="AK20" s="106">
        <f>IF(AI20&lt;=0.05,1.5,0)</f>
        <v>1.5</v>
      </c>
      <c r="AL20" s="91">
        <f t="shared" si="7"/>
        <v>1.5</v>
      </c>
      <c r="AM20" s="92"/>
      <c r="AN20" s="90"/>
      <c r="AO20" s="104">
        <v>0.93799999999999994</v>
      </c>
      <c r="AP20" s="89"/>
      <c r="AQ20" s="106">
        <f>IF(AO20&lt;=1.05,1,0)</f>
        <v>1</v>
      </c>
      <c r="AR20" s="107">
        <f t="shared" si="35"/>
        <v>1</v>
      </c>
      <c r="AS20" s="92"/>
      <c r="AT20" s="90"/>
      <c r="AU20" s="104">
        <v>0.78600000000000003</v>
      </c>
      <c r="AV20" s="89"/>
      <c r="AW20" s="106">
        <f>IF(AU20&lt;=1.05,1,0)</f>
        <v>1</v>
      </c>
      <c r="AX20" s="107">
        <f t="shared" si="37"/>
        <v>1</v>
      </c>
      <c r="AY20" s="95"/>
      <c r="AZ20" s="96"/>
      <c r="BA20" s="89">
        <f t="shared" si="21"/>
        <v>0</v>
      </c>
      <c r="BB20" s="125">
        <f t="shared" si="22"/>
        <v>6.5</v>
      </c>
      <c r="BC20" s="126">
        <v>1352762.16</v>
      </c>
      <c r="BD20" s="108">
        <v>83056.724000000002</v>
      </c>
      <c r="BF20" s="109">
        <f t="shared" si="10"/>
        <v>0.85742758025662869</v>
      </c>
      <c r="BG20" s="8">
        <f>IF(($BF20&lt;=10%),1,0)</f>
        <v>0</v>
      </c>
      <c r="BH20" s="110">
        <f>IF(AND(BF20&gt;10%,BF20&lt;30%),1,0)</f>
        <v>0</v>
      </c>
      <c r="BI20" s="110">
        <f>IF(AND(BF20&gt;30%,BF20&lt;70%),1,0)</f>
        <v>0</v>
      </c>
      <c r="BJ20" s="110">
        <f>IF(AND(BF20&gt;70%,BF20&lt;90%),1,0)</f>
        <v>1</v>
      </c>
      <c r="BK20" s="8">
        <f>IF(($BF20&gt;=90%),1,0)</f>
        <v>0</v>
      </c>
      <c r="BM20" s="109">
        <f t="shared" si="11"/>
        <v>0.55240422178571835</v>
      </c>
      <c r="BN20" s="8">
        <f>IF(($BM20&lt;=4.9%),1,0)</f>
        <v>0</v>
      </c>
      <c r="BO20" s="110">
        <f>IF(AND(BM20&gt;5%,BM20&lt;19.9%),1,0)</f>
        <v>0</v>
      </c>
      <c r="BP20" s="110">
        <f>IF(AND(BM20&gt;20%,BM20&lt;49.9%),1,0)</f>
        <v>0</v>
      </c>
      <c r="BQ20" s="110">
        <f>IF(AND(BM20&gt;50%,BM20&lt;89.9%),1,0)</f>
        <v>1</v>
      </c>
      <c r="BR20" s="8">
        <f>IF((BM20&gt;=90%),1,0)</f>
        <v>0</v>
      </c>
      <c r="BS20" s="109">
        <f t="shared" si="33"/>
        <v>0.84127936498795597</v>
      </c>
    </row>
    <row r="21" spans="1:71" s="8" customFormat="1" ht="13" x14ac:dyDescent="0.3">
      <c r="A21" s="105" t="s">
        <v>88</v>
      </c>
      <c r="B21" s="76">
        <v>0</v>
      </c>
      <c r="C21" s="76">
        <v>12280.8</v>
      </c>
      <c r="D21" s="76">
        <v>0</v>
      </c>
      <c r="E21" s="82">
        <f t="shared" si="12"/>
        <v>0</v>
      </c>
      <c r="F21" s="102">
        <f>IF(E21&lt;=1.05,1,0)</f>
        <v>1</v>
      </c>
      <c r="G21" s="90"/>
      <c r="H21" s="91">
        <f t="shared" si="0"/>
        <v>1</v>
      </c>
      <c r="I21" s="76">
        <v>0</v>
      </c>
      <c r="J21" s="76">
        <v>382940.9</v>
      </c>
      <c r="K21" s="76">
        <v>294470.09999999998</v>
      </c>
      <c r="L21" s="76">
        <v>54811.8</v>
      </c>
      <c r="M21" s="76">
        <v>0</v>
      </c>
      <c r="N21" s="82">
        <f>(I21)/(J21-K21-L21)</f>
        <v>0</v>
      </c>
      <c r="O21" s="102">
        <f>IF(N21&lt;=1,1,0)</f>
        <v>1</v>
      </c>
      <c r="P21" s="90"/>
      <c r="Q21" s="91">
        <f t="shared" si="2"/>
        <v>1</v>
      </c>
      <c r="R21" s="103">
        <v>0</v>
      </c>
      <c r="S21" s="76">
        <v>395221.7</v>
      </c>
      <c r="T21" s="84">
        <v>137022.546</v>
      </c>
      <c r="U21" s="82">
        <f t="shared" si="15"/>
        <v>0</v>
      </c>
      <c r="V21" s="102">
        <f>IF(U21&lt;=0.15,1,0)</f>
        <v>1</v>
      </c>
      <c r="W21" s="90"/>
      <c r="X21" s="91">
        <f t="shared" si="16"/>
        <v>1</v>
      </c>
      <c r="Y21" s="76">
        <v>-391.5</v>
      </c>
      <c r="Z21" s="86"/>
      <c r="AA21" s="86">
        <v>-391.5</v>
      </c>
      <c r="AB21" s="86"/>
      <c r="AC21" s="86">
        <v>360474.8</v>
      </c>
      <c r="AD21" s="86">
        <v>272825.2</v>
      </c>
      <c r="AE21" s="86">
        <v>55433.48</v>
      </c>
      <c r="AF21" s="86">
        <f t="shared" si="17"/>
        <v>32216.119999999974</v>
      </c>
      <c r="AG21" s="86">
        <f t="shared" si="4"/>
        <v>3221.6119999999974</v>
      </c>
      <c r="AH21" s="86">
        <f t="shared" si="5"/>
        <v>3221.6119999999974</v>
      </c>
      <c r="AI21" s="104">
        <f t="shared" si="6"/>
        <v>0</v>
      </c>
      <c r="AJ21" s="89">
        <f>IF(AI21&lt;=0.1,1.5,0)</f>
        <v>1.5</v>
      </c>
      <c r="AK21" s="90"/>
      <c r="AL21" s="91">
        <f t="shared" si="7"/>
        <v>1.5</v>
      </c>
      <c r="AM21" s="92"/>
      <c r="AN21" s="90"/>
      <c r="AO21" s="104">
        <v>0.81699999999999995</v>
      </c>
      <c r="AP21" s="89">
        <f>IF(AO21&lt;=1.05,1,0)</f>
        <v>1</v>
      </c>
      <c r="AQ21" s="90"/>
      <c r="AR21" s="107">
        <f t="shared" si="35"/>
        <v>1</v>
      </c>
      <c r="AS21" s="92"/>
      <c r="AT21" s="90"/>
      <c r="AU21" s="104">
        <v>0.83799999999999997</v>
      </c>
      <c r="AV21" s="89">
        <f>IF(AU21&lt;=1.05,1,0)</f>
        <v>1</v>
      </c>
      <c r="AW21" s="90"/>
      <c r="AX21" s="107">
        <f t="shared" si="37"/>
        <v>1</v>
      </c>
      <c r="AY21" s="95"/>
      <c r="AZ21" s="96"/>
      <c r="BA21" s="89">
        <f t="shared" si="21"/>
        <v>0</v>
      </c>
      <c r="BB21" s="125">
        <f t="shared" si="22"/>
        <v>6.5</v>
      </c>
      <c r="BC21" s="126">
        <v>207700.29</v>
      </c>
      <c r="BD21" s="108">
        <v>10961.853999999999</v>
      </c>
      <c r="BF21" s="109">
        <f t="shared" si="10"/>
        <v>0.85582548654890722</v>
      </c>
      <c r="BG21" s="8">
        <f t="shared" si="23"/>
        <v>0</v>
      </c>
      <c r="BH21" s="110">
        <f t="shared" si="24"/>
        <v>0</v>
      </c>
      <c r="BI21" s="110">
        <f t="shared" si="25"/>
        <v>0</v>
      </c>
      <c r="BJ21" s="110">
        <f t="shared" si="26"/>
        <v>1</v>
      </c>
      <c r="BK21" s="8">
        <f t="shared" si="27"/>
        <v>0</v>
      </c>
      <c r="BM21" s="109">
        <f t="shared" si="11"/>
        <v>0.26746134613441663</v>
      </c>
      <c r="BN21" s="8">
        <f t="shared" si="28"/>
        <v>0</v>
      </c>
      <c r="BO21" s="110">
        <f t="shared" si="29"/>
        <v>0</v>
      </c>
      <c r="BP21" s="110">
        <f t="shared" si="30"/>
        <v>1</v>
      </c>
      <c r="BQ21" s="110">
        <f t="shared" si="31"/>
        <v>0</v>
      </c>
      <c r="BR21" s="8">
        <f t="shared" si="32"/>
        <v>0</v>
      </c>
      <c r="BS21" s="109">
        <f t="shared" si="33"/>
        <v>0.54238210125896713</v>
      </c>
    </row>
    <row r="22" spans="1:71" s="8" customFormat="1" ht="13" x14ac:dyDescent="0.3">
      <c r="A22" s="105" t="s">
        <v>89</v>
      </c>
      <c r="B22" s="76">
        <v>0</v>
      </c>
      <c r="C22" s="76">
        <v>54045.4</v>
      </c>
      <c r="D22" s="76">
        <v>0</v>
      </c>
      <c r="E22" s="82">
        <f t="shared" si="12"/>
        <v>0</v>
      </c>
      <c r="F22" s="102">
        <f>IF(E22&lt;=1.05,1,0)</f>
        <v>1</v>
      </c>
      <c r="G22" s="90"/>
      <c r="H22" s="91">
        <f t="shared" si="0"/>
        <v>1</v>
      </c>
      <c r="I22" s="76">
        <v>0</v>
      </c>
      <c r="J22" s="76">
        <v>1231654.8999999999</v>
      </c>
      <c r="K22" s="76">
        <v>859397.7</v>
      </c>
      <c r="L22" s="76">
        <v>181790.7</v>
      </c>
      <c r="M22" s="76">
        <v>0</v>
      </c>
      <c r="N22" s="82">
        <f t="shared" si="14"/>
        <v>0</v>
      </c>
      <c r="O22" s="102">
        <f>IF(N22&lt;=1,1,0)</f>
        <v>1</v>
      </c>
      <c r="P22" s="90"/>
      <c r="Q22" s="91">
        <f t="shared" si="2"/>
        <v>1</v>
      </c>
      <c r="R22" s="103">
        <v>0</v>
      </c>
      <c r="S22" s="76">
        <v>1285700.3</v>
      </c>
      <c r="T22" s="84">
        <v>468818.08100000001</v>
      </c>
      <c r="U22" s="82">
        <f t="shared" si="15"/>
        <v>0</v>
      </c>
      <c r="V22" s="102">
        <f>IF(U22&lt;=0.15,1,0)</f>
        <v>1</v>
      </c>
      <c r="W22" s="90"/>
      <c r="X22" s="91">
        <f t="shared" si="16"/>
        <v>1</v>
      </c>
      <c r="Y22" s="76">
        <v>60297.9</v>
      </c>
      <c r="Z22" s="86"/>
      <c r="AA22" s="86">
        <v>60297.9</v>
      </c>
      <c r="AB22" s="86"/>
      <c r="AC22" s="86">
        <v>1220239.1000000001</v>
      </c>
      <c r="AD22" s="86">
        <v>752394.2</v>
      </c>
      <c r="AE22" s="86">
        <v>235304.88</v>
      </c>
      <c r="AF22" s="86">
        <f t="shared" si="17"/>
        <v>232540.02000000014</v>
      </c>
      <c r="AG22" s="86">
        <f t="shared" si="4"/>
        <v>23254.002000000015</v>
      </c>
      <c r="AH22" s="86">
        <f t="shared" si="5"/>
        <v>83551.902000000016</v>
      </c>
      <c r="AI22" s="104">
        <f t="shared" si="6"/>
        <v>0</v>
      </c>
      <c r="AJ22" s="89">
        <f>IF(AI22&lt;=0.1,1.5,0)</f>
        <v>1.5</v>
      </c>
      <c r="AK22" s="90"/>
      <c r="AL22" s="91">
        <f t="shared" si="7"/>
        <v>1.5</v>
      </c>
      <c r="AM22" s="92"/>
      <c r="AN22" s="90"/>
      <c r="AO22" s="104">
        <v>0.81499999999999995</v>
      </c>
      <c r="AP22" s="89">
        <f>IF(AO22&lt;=1.05,1,0)</f>
        <v>1</v>
      </c>
      <c r="AQ22" s="90"/>
      <c r="AR22" s="107">
        <f t="shared" si="35"/>
        <v>1</v>
      </c>
      <c r="AS22" s="92"/>
      <c r="AT22" s="90"/>
      <c r="AU22" s="104">
        <v>0.79700000000000004</v>
      </c>
      <c r="AV22" s="89">
        <f>IF(AU22&lt;=1.05,1,0)</f>
        <v>1</v>
      </c>
      <c r="AW22" s="90"/>
      <c r="AX22" s="107">
        <f t="shared" si="37"/>
        <v>1</v>
      </c>
      <c r="AY22" s="95"/>
      <c r="AZ22" s="96"/>
      <c r="BA22" s="89">
        <f t="shared" si="21"/>
        <v>0</v>
      </c>
      <c r="BB22" s="125">
        <f t="shared" si="22"/>
        <v>6.5</v>
      </c>
      <c r="BC22" s="126">
        <v>1159243.03</v>
      </c>
      <c r="BD22" s="108">
        <v>31817.344000000001</v>
      </c>
      <c r="BF22" s="109">
        <f t="shared" si="10"/>
        <v>0.69053298467819391</v>
      </c>
      <c r="BG22" s="8">
        <f t="shared" si="23"/>
        <v>0</v>
      </c>
      <c r="BH22" s="110">
        <f t="shared" si="24"/>
        <v>0</v>
      </c>
      <c r="BI22" s="110">
        <f t="shared" si="25"/>
        <v>1</v>
      </c>
      <c r="BJ22" s="110">
        <f t="shared" si="26"/>
        <v>0</v>
      </c>
      <c r="BK22" s="8">
        <f t="shared" si="27"/>
        <v>0</v>
      </c>
      <c r="BM22" s="109">
        <f t="shared" si="11"/>
        <v>0.28001800474185035</v>
      </c>
      <c r="BN22" s="8">
        <f t="shared" si="28"/>
        <v>0</v>
      </c>
      <c r="BO22" s="110">
        <f t="shared" si="29"/>
        <v>0</v>
      </c>
      <c r="BP22" s="110">
        <f t="shared" si="30"/>
        <v>1</v>
      </c>
      <c r="BQ22" s="110">
        <f t="shared" si="31"/>
        <v>0</v>
      </c>
      <c r="BR22" s="8">
        <f t="shared" si="32"/>
        <v>0</v>
      </c>
      <c r="BS22" s="109">
        <f t="shared" si="33"/>
        <v>0.94120766295818747</v>
      </c>
    </row>
    <row r="23" spans="1:71" s="8" customFormat="1" ht="13" x14ac:dyDescent="0.3">
      <c r="A23" s="105" t="s">
        <v>90</v>
      </c>
      <c r="B23" s="76">
        <v>0</v>
      </c>
      <c r="C23" s="76">
        <v>9063.9</v>
      </c>
      <c r="D23" s="76">
        <v>0</v>
      </c>
      <c r="E23" s="82">
        <f t="shared" si="12"/>
        <v>0</v>
      </c>
      <c r="F23" s="102">
        <f>IF(E23&lt;=1.05,1,0)</f>
        <v>1</v>
      </c>
      <c r="G23" s="90"/>
      <c r="H23" s="91">
        <f t="shared" si="0"/>
        <v>1</v>
      </c>
      <c r="I23" s="76">
        <v>0</v>
      </c>
      <c r="J23" s="76">
        <v>757021.2</v>
      </c>
      <c r="K23" s="76">
        <v>650765.9</v>
      </c>
      <c r="L23" s="76">
        <v>82534.2</v>
      </c>
      <c r="M23" s="76">
        <v>0</v>
      </c>
      <c r="N23" s="82">
        <f>(I23)/(J23-K23-L23)</f>
        <v>0</v>
      </c>
      <c r="O23" s="102">
        <f>IF(N23&lt;=1,1,0)</f>
        <v>1</v>
      </c>
      <c r="P23" s="90"/>
      <c r="Q23" s="91">
        <f t="shared" si="2"/>
        <v>1</v>
      </c>
      <c r="R23" s="103">
        <v>0</v>
      </c>
      <c r="S23" s="76">
        <v>766085.1</v>
      </c>
      <c r="T23" s="84">
        <v>188672.06899999999</v>
      </c>
      <c r="U23" s="82">
        <f t="shared" si="15"/>
        <v>0</v>
      </c>
      <c r="V23" s="102">
        <f>IF(U23&lt;=0.15,1,0)</f>
        <v>1</v>
      </c>
      <c r="W23" s="90"/>
      <c r="X23" s="91">
        <f t="shared" si="16"/>
        <v>1</v>
      </c>
      <c r="Y23" s="76">
        <v>-2063.1</v>
      </c>
      <c r="Z23" s="86"/>
      <c r="AA23" s="86">
        <v>-2063.1</v>
      </c>
      <c r="AB23" s="86"/>
      <c r="AC23" s="86">
        <v>577852.5</v>
      </c>
      <c r="AD23" s="86">
        <v>477475.8</v>
      </c>
      <c r="AE23" s="86">
        <v>80364.62</v>
      </c>
      <c r="AF23" s="86">
        <f t="shared" si="17"/>
        <v>20012.080000000016</v>
      </c>
      <c r="AG23" s="86">
        <f t="shared" si="4"/>
        <v>2001.2080000000017</v>
      </c>
      <c r="AH23" s="86">
        <f t="shared" si="5"/>
        <v>2001.2080000000017</v>
      </c>
      <c r="AI23" s="104">
        <f t="shared" si="6"/>
        <v>0</v>
      </c>
      <c r="AJ23" s="89">
        <f>IF(AI23&lt;=0.1,1.5,0)</f>
        <v>1.5</v>
      </c>
      <c r="AK23" s="90"/>
      <c r="AL23" s="91">
        <f t="shared" si="7"/>
        <v>1.5</v>
      </c>
      <c r="AM23" s="92"/>
      <c r="AN23" s="90"/>
      <c r="AO23" s="104">
        <v>0.76500000000000001</v>
      </c>
      <c r="AP23" s="89">
        <f>IF(AO23&lt;=1.05,1,0)</f>
        <v>1</v>
      </c>
      <c r="AQ23" s="90"/>
      <c r="AR23" s="107">
        <f t="shared" si="35"/>
        <v>1</v>
      </c>
      <c r="AS23" s="92"/>
      <c r="AT23" s="90"/>
      <c r="AU23" s="104">
        <v>0.876</v>
      </c>
      <c r="AV23" s="89">
        <f>IF(AU23&lt;=1.05,1,0)</f>
        <v>1</v>
      </c>
      <c r="AW23" s="90"/>
      <c r="AX23" s="107">
        <f t="shared" si="37"/>
        <v>1</v>
      </c>
      <c r="AY23" s="95"/>
      <c r="AZ23" s="96"/>
      <c r="BA23" s="89">
        <f t="shared" si="21"/>
        <v>0</v>
      </c>
      <c r="BB23" s="125">
        <f t="shared" si="22"/>
        <v>6.5</v>
      </c>
      <c r="BC23" s="126">
        <v>324203.13</v>
      </c>
      <c r="BD23" s="108">
        <v>40337.11</v>
      </c>
      <c r="BF23" s="109">
        <f t="shared" si="10"/>
        <v>0.94857891505855274</v>
      </c>
      <c r="BG23" s="8">
        <f t="shared" si="23"/>
        <v>0</v>
      </c>
      <c r="BH23" s="110">
        <f t="shared" si="24"/>
        <v>0</v>
      </c>
      <c r="BI23" s="110">
        <f t="shared" si="25"/>
        <v>0</v>
      </c>
      <c r="BJ23" s="110">
        <f t="shared" si="26"/>
        <v>0</v>
      </c>
      <c r="BK23" s="8">
        <f t="shared" si="27"/>
        <v>1</v>
      </c>
      <c r="BM23" s="109">
        <f t="shared" si="11"/>
        <v>0.21618984405555466</v>
      </c>
      <c r="BN23" s="8">
        <f t="shared" si="28"/>
        <v>0</v>
      </c>
      <c r="BO23" s="110">
        <f t="shared" si="29"/>
        <v>0</v>
      </c>
      <c r="BP23" s="110">
        <f t="shared" si="30"/>
        <v>1</v>
      </c>
      <c r="BQ23" s="110">
        <f t="shared" si="31"/>
        <v>0</v>
      </c>
      <c r="BR23" s="8">
        <f t="shared" si="32"/>
        <v>0</v>
      </c>
      <c r="BS23" s="109">
        <f t="shared" si="33"/>
        <v>0.42826162596239054</v>
      </c>
    </row>
    <row r="24" spans="1:71" s="8" customFormat="1" ht="13" x14ac:dyDescent="0.3">
      <c r="A24" s="105" t="s">
        <v>91</v>
      </c>
      <c r="B24" s="76">
        <v>0</v>
      </c>
      <c r="C24" s="76">
        <v>65501.9</v>
      </c>
      <c r="D24" s="76">
        <v>0</v>
      </c>
      <c r="E24" s="82">
        <f t="shared" si="12"/>
        <v>0</v>
      </c>
      <c r="F24" s="102">
        <f>IF(E24&lt;=1.05,1,0)</f>
        <v>1</v>
      </c>
      <c r="G24" s="90"/>
      <c r="H24" s="91">
        <f t="shared" si="0"/>
        <v>1</v>
      </c>
      <c r="I24" s="76">
        <v>0</v>
      </c>
      <c r="J24" s="76">
        <v>911777.7</v>
      </c>
      <c r="K24" s="76">
        <v>584996.6</v>
      </c>
      <c r="L24" s="76">
        <v>228596.2</v>
      </c>
      <c r="M24" s="76">
        <v>0</v>
      </c>
      <c r="N24" s="82">
        <f>(I24)/(J24-K24-L24)</f>
        <v>0</v>
      </c>
      <c r="O24" s="102">
        <f>IF(N24&lt;=1,1,0)</f>
        <v>1</v>
      </c>
      <c r="P24" s="90"/>
      <c r="Q24" s="91">
        <f t="shared" si="2"/>
        <v>1</v>
      </c>
      <c r="R24" s="103">
        <v>0</v>
      </c>
      <c r="S24" s="76">
        <v>977279.6</v>
      </c>
      <c r="T24" s="84">
        <v>430380.891</v>
      </c>
      <c r="U24" s="82">
        <f t="shared" si="15"/>
        <v>0</v>
      </c>
      <c r="V24" s="102">
        <f>IF(U24&lt;=0.15,1,0)</f>
        <v>1</v>
      </c>
      <c r="W24" s="90"/>
      <c r="X24" s="91">
        <f t="shared" si="16"/>
        <v>1</v>
      </c>
      <c r="Y24" s="76">
        <v>-47224.800000000003</v>
      </c>
      <c r="Z24" s="86"/>
      <c r="AA24" s="86">
        <v>-47224.800000000003</v>
      </c>
      <c r="AB24" s="86"/>
      <c r="AC24" s="86">
        <v>870839.7</v>
      </c>
      <c r="AD24" s="86">
        <v>551394.30000000005</v>
      </c>
      <c r="AE24" s="86">
        <v>223283.98</v>
      </c>
      <c r="AF24" s="86">
        <f t="shared" si="17"/>
        <v>96161.419999999896</v>
      </c>
      <c r="AG24" s="86">
        <f t="shared" si="4"/>
        <v>9616.1419999999907</v>
      </c>
      <c r="AH24" s="86">
        <f t="shared" si="5"/>
        <v>9616.1419999999907</v>
      </c>
      <c r="AI24" s="104">
        <f t="shared" si="6"/>
        <v>0</v>
      </c>
      <c r="AJ24" s="89">
        <f>IF(AI24&lt;=0.1,1.5,0)</f>
        <v>1.5</v>
      </c>
      <c r="AK24" s="90"/>
      <c r="AL24" s="91">
        <f t="shared" si="7"/>
        <v>1.5</v>
      </c>
      <c r="AM24" s="92"/>
      <c r="AN24" s="90"/>
      <c r="AO24" s="104">
        <v>0.95</v>
      </c>
      <c r="AP24" s="89">
        <f>IF(AO24&lt;=1.05,1,0)</f>
        <v>1</v>
      </c>
      <c r="AQ24" s="90"/>
      <c r="AR24" s="107">
        <f t="shared" si="35"/>
        <v>1</v>
      </c>
      <c r="AS24" s="92"/>
      <c r="AT24" s="90"/>
      <c r="AU24" s="104">
        <v>0.97</v>
      </c>
      <c r="AV24" s="89">
        <f>IF(AU24&lt;=1.05,1,0)</f>
        <v>1</v>
      </c>
      <c r="AW24" s="90"/>
      <c r="AX24" s="107">
        <f t="shared" si="37"/>
        <v>1</v>
      </c>
      <c r="AY24" s="95"/>
      <c r="AZ24" s="96"/>
      <c r="BA24" s="89">
        <f t="shared" si="21"/>
        <v>0</v>
      </c>
      <c r="BB24" s="125">
        <f t="shared" si="22"/>
        <v>6.5</v>
      </c>
      <c r="BC24" s="126">
        <v>833092.97</v>
      </c>
      <c r="BD24" s="108">
        <v>16988.464</v>
      </c>
      <c r="BF24" s="109">
        <f t="shared" si="10"/>
        <v>0.78167897193764624</v>
      </c>
      <c r="BG24" s="8">
        <f t="shared" si="23"/>
        <v>0</v>
      </c>
      <c r="BH24" s="110">
        <f t="shared" si="24"/>
        <v>0</v>
      </c>
      <c r="BI24" s="110">
        <f t="shared" si="25"/>
        <v>0</v>
      </c>
      <c r="BJ24" s="110">
        <f t="shared" si="26"/>
        <v>1</v>
      </c>
      <c r="BK24" s="8">
        <f t="shared" si="27"/>
        <v>0</v>
      </c>
      <c r="BM24" s="109">
        <f t="shared" si="11"/>
        <v>0.51015017010634156</v>
      </c>
      <c r="BN24" s="8">
        <f t="shared" si="28"/>
        <v>0</v>
      </c>
      <c r="BO24" s="110">
        <f t="shared" si="29"/>
        <v>0</v>
      </c>
      <c r="BP24" s="110">
        <f t="shared" si="30"/>
        <v>0</v>
      </c>
      <c r="BQ24" s="110">
        <f t="shared" si="31"/>
        <v>1</v>
      </c>
      <c r="BR24" s="8">
        <f t="shared" si="32"/>
        <v>0</v>
      </c>
      <c r="BS24" s="109">
        <f t="shared" si="33"/>
        <v>0.91370184859752546</v>
      </c>
    </row>
    <row r="25" spans="1:71" s="8" customFormat="1" ht="13" x14ac:dyDescent="0.3">
      <c r="A25" s="105" t="s">
        <v>92</v>
      </c>
      <c r="B25" s="76">
        <v>0</v>
      </c>
      <c r="C25" s="76">
        <v>19658.8</v>
      </c>
      <c r="D25" s="76">
        <v>0</v>
      </c>
      <c r="E25" s="82">
        <f t="shared" si="12"/>
        <v>0</v>
      </c>
      <c r="F25" s="102"/>
      <c r="G25" s="90">
        <f>IF(E25&lt;=1.05,1,0)</f>
        <v>1</v>
      </c>
      <c r="H25" s="91">
        <f t="shared" si="0"/>
        <v>1</v>
      </c>
      <c r="I25" s="76">
        <v>0</v>
      </c>
      <c r="J25" s="76">
        <v>824047.7</v>
      </c>
      <c r="K25" s="76">
        <v>703045.5</v>
      </c>
      <c r="L25" s="76">
        <v>94887.4</v>
      </c>
      <c r="M25" s="76">
        <v>0</v>
      </c>
      <c r="N25" s="82">
        <f t="shared" si="14"/>
        <v>0</v>
      </c>
      <c r="O25" s="102"/>
      <c r="P25" s="90">
        <f>IF(N25&lt;=0.5,1,0)</f>
        <v>1</v>
      </c>
      <c r="Q25" s="91">
        <f t="shared" si="2"/>
        <v>1</v>
      </c>
      <c r="R25" s="103">
        <v>0</v>
      </c>
      <c r="S25" s="76">
        <v>843706.5</v>
      </c>
      <c r="T25" s="84">
        <v>190535.149</v>
      </c>
      <c r="U25" s="82">
        <f t="shared" si="15"/>
        <v>0</v>
      </c>
      <c r="V25" s="102"/>
      <c r="W25" s="90">
        <f>IF(U25&lt;=0.15,1,0)</f>
        <v>1</v>
      </c>
      <c r="X25" s="91">
        <f t="shared" si="16"/>
        <v>1</v>
      </c>
      <c r="Y25" s="76">
        <v>-1450.9</v>
      </c>
      <c r="Z25" s="86"/>
      <c r="AA25" s="86">
        <v>-1450.9</v>
      </c>
      <c r="AB25" s="86"/>
      <c r="AC25" s="86">
        <v>708048.1</v>
      </c>
      <c r="AD25" s="86">
        <v>574037.69999999995</v>
      </c>
      <c r="AE25" s="86">
        <v>102625.96</v>
      </c>
      <c r="AF25" s="86">
        <f t="shared" si="17"/>
        <v>31384.440000000017</v>
      </c>
      <c r="AG25" s="86">
        <f>AF25*5%</f>
        <v>1569.2220000000009</v>
      </c>
      <c r="AH25" s="86">
        <f t="shared" si="5"/>
        <v>1569.2220000000009</v>
      </c>
      <c r="AI25" s="104">
        <f t="shared" si="6"/>
        <v>0</v>
      </c>
      <c r="AJ25" s="89"/>
      <c r="AK25" s="106">
        <f>IF(AI25&lt;=0.05,1.5,0)</f>
        <v>1.5</v>
      </c>
      <c r="AL25" s="91">
        <f t="shared" si="7"/>
        <v>1.5</v>
      </c>
      <c r="AM25" s="92"/>
      <c r="AN25" s="90"/>
      <c r="AO25" s="104">
        <v>0.94</v>
      </c>
      <c r="AP25" s="89"/>
      <c r="AQ25" s="106">
        <f>IF(AO25&lt;=1.05,1,0)</f>
        <v>1</v>
      </c>
      <c r="AR25" s="107">
        <f t="shared" si="35"/>
        <v>1</v>
      </c>
      <c r="AS25" s="92"/>
      <c r="AT25" s="90"/>
      <c r="AU25" s="104">
        <v>0.84099999999999997</v>
      </c>
      <c r="AV25" s="89"/>
      <c r="AW25" s="106">
        <f>IF(AU25&lt;=1.05,1,0)</f>
        <v>1</v>
      </c>
      <c r="AX25" s="107">
        <f t="shared" si="37"/>
        <v>1</v>
      </c>
      <c r="AY25" s="95"/>
      <c r="AZ25" s="96"/>
      <c r="BA25" s="89">
        <f t="shared" si="21"/>
        <v>0</v>
      </c>
      <c r="BB25" s="125">
        <f t="shared" si="22"/>
        <v>6.5</v>
      </c>
      <c r="BC25" s="126">
        <v>342588.77</v>
      </c>
      <c r="BD25" s="108">
        <v>40388.538</v>
      </c>
      <c r="BF25" s="109">
        <f t="shared" si="10"/>
        <v>0.9393552568310507</v>
      </c>
      <c r="BG25" s="8">
        <f t="shared" si="23"/>
        <v>0</v>
      </c>
      <c r="BH25" s="110">
        <f t="shared" si="24"/>
        <v>0</v>
      </c>
      <c r="BI25" s="110">
        <f t="shared" si="25"/>
        <v>0</v>
      </c>
      <c r="BJ25" s="110">
        <f t="shared" si="26"/>
        <v>0</v>
      </c>
      <c r="BK25" s="8">
        <f t="shared" si="27"/>
        <v>1</v>
      </c>
      <c r="BM25" s="109">
        <f t="shared" si="11"/>
        <v>0.21353316171316075</v>
      </c>
      <c r="BN25" s="8">
        <f t="shared" si="28"/>
        <v>0</v>
      </c>
      <c r="BO25" s="110">
        <f t="shared" si="29"/>
        <v>0</v>
      </c>
      <c r="BP25" s="110">
        <f t="shared" si="30"/>
        <v>1</v>
      </c>
      <c r="BQ25" s="110">
        <f t="shared" si="31"/>
        <v>0</v>
      </c>
      <c r="BR25" s="8">
        <f t="shared" si="32"/>
        <v>0</v>
      </c>
      <c r="BS25" s="109">
        <f t="shared" si="33"/>
        <v>0.41573900394358243</v>
      </c>
    </row>
    <row r="26" spans="1:71" s="8" customFormat="1" ht="13" x14ac:dyDescent="0.3">
      <c r="A26" s="105" t="s">
        <v>93</v>
      </c>
      <c r="B26" s="76">
        <v>0</v>
      </c>
      <c r="C26" s="76">
        <v>23385.7</v>
      </c>
      <c r="D26" s="76">
        <v>0</v>
      </c>
      <c r="E26" s="82">
        <f t="shared" si="12"/>
        <v>0</v>
      </c>
      <c r="F26" s="102"/>
      <c r="G26" s="90">
        <f>IF(E26&lt;=1.05,1,0)</f>
        <v>1</v>
      </c>
      <c r="H26" s="91">
        <f t="shared" si="0"/>
        <v>1</v>
      </c>
      <c r="I26" s="76">
        <v>0</v>
      </c>
      <c r="J26" s="76">
        <v>2481905.4</v>
      </c>
      <c r="K26" s="76">
        <v>2199297.7999999998</v>
      </c>
      <c r="L26" s="76">
        <v>211821.7</v>
      </c>
      <c r="M26" s="76">
        <v>0</v>
      </c>
      <c r="N26" s="82">
        <f t="shared" si="14"/>
        <v>0</v>
      </c>
      <c r="O26" s="102"/>
      <c r="P26" s="90">
        <f>IF(N26&lt;=0.5,1,0)</f>
        <v>1</v>
      </c>
      <c r="Q26" s="91">
        <f>O26+P26</f>
        <v>1</v>
      </c>
      <c r="R26" s="103">
        <v>0</v>
      </c>
      <c r="S26" s="76">
        <v>2505291.1</v>
      </c>
      <c r="T26" s="84">
        <v>445877.99300000002</v>
      </c>
      <c r="U26" s="82">
        <f t="shared" si="15"/>
        <v>0</v>
      </c>
      <c r="V26" s="102"/>
      <c r="W26" s="90">
        <f>IF(U26&lt;=0.15,1,0)</f>
        <v>1</v>
      </c>
      <c r="X26" s="91">
        <f t="shared" si="16"/>
        <v>1</v>
      </c>
      <c r="Y26" s="76">
        <v>-12419.5</v>
      </c>
      <c r="Z26" s="86"/>
      <c r="AA26" s="86">
        <v>-12419.5</v>
      </c>
      <c r="AB26" s="86"/>
      <c r="AC26" s="86">
        <v>2379327.9</v>
      </c>
      <c r="AD26" s="86">
        <v>2110716.2999999998</v>
      </c>
      <c r="AE26" s="86">
        <v>199200.7</v>
      </c>
      <c r="AF26" s="86">
        <f t="shared" si="17"/>
        <v>69410.900000000081</v>
      </c>
      <c r="AG26" s="86">
        <f>AF26*10%</f>
        <v>6941.0900000000083</v>
      </c>
      <c r="AH26" s="86">
        <f t="shared" si="5"/>
        <v>6941.0900000000083</v>
      </c>
      <c r="AI26" s="104">
        <f t="shared" si="6"/>
        <v>0</v>
      </c>
      <c r="AJ26" s="89"/>
      <c r="AK26" s="106">
        <f>IF(AI26&lt;=0.05,1.5,0)</f>
        <v>1.5</v>
      </c>
      <c r="AL26" s="91">
        <f t="shared" si="7"/>
        <v>1.5</v>
      </c>
      <c r="AM26" s="92"/>
      <c r="AN26" s="90"/>
      <c r="AO26" s="104">
        <v>0.96399999999999997</v>
      </c>
      <c r="AP26" s="89"/>
      <c r="AQ26" s="106">
        <f>IF(AO26&lt;=1.05,1,0)</f>
        <v>1</v>
      </c>
      <c r="AR26" s="107">
        <f t="shared" si="35"/>
        <v>1</v>
      </c>
      <c r="AS26" s="92"/>
      <c r="AT26" s="90"/>
      <c r="AU26" s="104">
        <v>0.97</v>
      </c>
      <c r="AV26" s="89"/>
      <c r="AW26" s="106">
        <f>IF(AU26&lt;=1.05,1,0)</f>
        <v>1</v>
      </c>
      <c r="AX26" s="107">
        <f t="shared" si="37"/>
        <v>1</v>
      </c>
      <c r="AY26" s="95"/>
      <c r="AZ26" s="96"/>
      <c r="BA26" s="89">
        <f t="shared" si="21"/>
        <v>0</v>
      </c>
      <c r="BB26" s="125">
        <f t="shared" si="22"/>
        <v>6.5</v>
      </c>
      <c r="BC26" s="126">
        <v>1504938</v>
      </c>
      <c r="BD26" s="108">
        <v>46282.382380000003</v>
      </c>
      <c r="BF26" s="109">
        <f t="shared" si="10"/>
        <v>0.96409997499873168</v>
      </c>
      <c r="BG26" s="8">
        <f t="shared" si="23"/>
        <v>0</v>
      </c>
      <c r="BH26" s="110">
        <f t="shared" si="24"/>
        <v>0</v>
      </c>
      <c r="BI26" s="110">
        <f t="shared" si="25"/>
        <v>0</v>
      </c>
      <c r="BJ26" s="110">
        <f t="shared" si="26"/>
        <v>0</v>
      </c>
      <c r="BK26" s="8">
        <f t="shared" si="27"/>
        <v>1</v>
      </c>
      <c r="BM26" s="109">
        <f t="shared" si="11"/>
        <v>0.12676847153069784</v>
      </c>
      <c r="BN26" s="8">
        <f t="shared" si="28"/>
        <v>0</v>
      </c>
      <c r="BO26" s="110">
        <f t="shared" si="29"/>
        <v>1</v>
      </c>
      <c r="BP26" s="110">
        <f t="shared" si="30"/>
        <v>0</v>
      </c>
      <c r="BQ26" s="110">
        <f t="shared" si="31"/>
        <v>0</v>
      </c>
      <c r="BR26" s="8">
        <f t="shared" si="32"/>
        <v>0</v>
      </c>
      <c r="BS26" s="109">
        <f t="shared" si="33"/>
        <v>0.60636396536306347</v>
      </c>
    </row>
    <row r="27" spans="1:71" s="8" customFormat="1" ht="13" x14ac:dyDescent="0.3">
      <c r="A27" s="105" t="s">
        <v>94</v>
      </c>
      <c r="B27" s="76">
        <v>0</v>
      </c>
      <c r="C27" s="76">
        <v>27999.8</v>
      </c>
      <c r="D27" s="76">
        <v>0</v>
      </c>
      <c r="E27" s="82">
        <f>IF(AND(B27=0,D27=0),0,B27/(IF(C27&gt;0,C27,0)+D27))</f>
        <v>0</v>
      </c>
      <c r="F27" s="102">
        <f>IF(E27&lt;=1.05,1,0)</f>
        <v>1</v>
      </c>
      <c r="G27" s="90"/>
      <c r="H27" s="91">
        <f>F27+G27</f>
        <v>1</v>
      </c>
      <c r="I27" s="76">
        <v>0</v>
      </c>
      <c r="J27" s="76">
        <v>636031.80000000005</v>
      </c>
      <c r="K27" s="76">
        <v>472020.1</v>
      </c>
      <c r="L27" s="76">
        <v>97957.1</v>
      </c>
      <c r="M27" s="76">
        <v>0</v>
      </c>
      <c r="N27" s="82">
        <f>(I27)/(J27-K27-L27)</f>
        <v>0</v>
      </c>
      <c r="O27" s="102">
        <f>IF(N27&lt;=1,1,0)</f>
        <v>1</v>
      </c>
      <c r="P27" s="90"/>
      <c r="Q27" s="91">
        <f>O27+P27</f>
        <v>1</v>
      </c>
      <c r="R27" s="103">
        <v>0</v>
      </c>
      <c r="S27" s="76">
        <v>664031.6</v>
      </c>
      <c r="T27" s="84">
        <v>350035.38400000002</v>
      </c>
      <c r="U27" s="82">
        <f>R27/(S27-T27)</f>
        <v>0</v>
      </c>
      <c r="V27" s="102">
        <f>IF(U27&lt;=0.15,1,0)</f>
        <v>1</v>
      </c>
      <c r="W27" s="90"/>
      <c r="X27" s="91">
        <f>V27+W27</f>
        <v>1</v>
      </c>
      <c r="Y27" s="76">
        <v>-4262.5</v>
      </c>
      <c r="Z27" s="86"/>
      <c r="AA27" s="86">
        <v>-4262.5</v>
      </c>
      <c r="AB27" s="86"/>
      <c r="AC27" s="86">
        <v>648063.5</v>
      </c>
      <c r="AD27" s="86">
        <v>471674.3</v>
      </c>
      <c r="AE27" s="86">
        <v>106262.28</v>
      </c>
      <c r="AF27" s="86">
        <f>AC27-AD27-AE27</f>
        <v>70126.920000000013</v>
      </c>
      <c r="AG27" s="86">
        <f>AF27*10%</f>
        <v>7012.6920000000018</v>
      </c>
      <c r="AH27" s="86">
        <f>IF(AA27&gt;0,AA27,0)+AG27+IF(AB27&gt;0,AB27,0)</f>
        <v>7012.6920000000018</v>
      </c>
      <c r="AI27" s="104">
        <f>IF((Y27-IF(Z27&gt;0,Z27,0)-IF(AA27&gt;0,AA27,0)-IF(AB27&gt;0,AB27,0))/(AC27-AD27-AE27)&gt;0,(Y27-IF(Z27&gt;0,Z27,0)-IF(AA27&gt;0,AA27,0)-IF(AB27&gt;0,AB27,0))/(AC27-AD27-AE27),0)</f>
        <v>0</v>
      </c>
      <c r="AJ27" s="89">
        <f>IF(AI27&lt;=0.1,1.5,0)</f>
        <v>1.5</v>
      </c>
      <c r="AK27" s="106"/>
      <c r="AL27" s="91">
        <f>AJ27+AK27</f>
        <v>1.5</v>
      </c>
      <c r="AM27" s="92"/>
      <c r="AN27" s="90"/>
      <c r="AO27" s="104">
        <v>0.88700000000000001</v>
      </c>
      <c r="AP27" s="89">
        <f>IF(AO27&lt;=1.05,1,0)</f>
        <v>1</v>
      </c>
      <c r="AQ27" s="106"/>
      <c r="AR27" s="107">
        <f>AP27+AQ27</f>
        <v>1</v>
      </c>
      <c r="AS27" s="92"/>
      <c r="AT27" s="90"/>
      <c r="AU27" s="104">
        <v>0.94099999999999995</v>
      </c>
      <c r="AV27" s="89">
        <f>IF(AU27&lt;=1.05,1,0)</f>
        <v>1</v>
      </c>
      <c r="AW27" s="106"/>
      <c r="AX27" s="107">
        <f>AV27+AW27</f>
        <v>1</v>
      </c>
      <c r="AY27" s="95"/>
      <c r="AZ27" s="96"/>
      <c r="BA27" s="89">
        <f>AZ27</f>
        <v>0</v>
      </c>
      <c r="BB27" s="125">
        <f t="shared" si="22"/>
        <v>6.5</v>
      </c>
      <c r="BC27" s="126">
        <v>482639.51</v>
      </c>
      <c r="BD27" s="108">
        <v>30349.421999999999</v>
      </c>
      <c r="BF27" s="109">
        <f t="shared" si="10"/>
        <v>0.76469696570507451</v>
      </c>
      <c r="BG27" s="8">
        <f t="shared" si="23"/>
        <v>0</v>
      </c>
      <c r="BH27" s="110">
        <f t="shared" si="24"/>
        <v>0</v>
      </c>
      <c r="BI27" s="110">
        <f t="shared" si="25"/>
        <v>0</v>
      </c>
      <c r="BJ27" s="110">
        <f t="shared" si="26"/>
        <v>1</v>
      </c>
      <c r="BK27" s="8">
        <f t="shared" si="27"/>
        <v>0</v>
      </c>
      <c r="BM27" s="109">
        <f t="shared" si="11"/>
        <v>0.44862982478773433</v>
      </c>
      <c r="BN27" s="8">
        <f t="shared" si="28"/>
        <v>0</v>
      </c>
      <c r="BO27" s="110">
        <f t="shared" si="29"/>
        <v>0</v>
      </c>
      <c r="BP27" s="110">
        <f t="shared" si="30"/>
        <v>1</v>
      </c>
      <c r="BQ27" s="110">
        <f t="shared" si="31"/>
        <v>0</v>
      </c>
      <c r="BR27" s="8">
        <f t="shared" si="32"/>
        <v>0</v>
      </c>
      <c r="BS27" s="109">
        <f t="shared" si="33"/>
        <v>0.75882921262741887</v>
      </c>
    </row>
    <row r="28" spans="1:71" s="8" customFormat="1" ht="13" x14ac:dyDescent="0.3">
      <c r="A28" s="105" t="s">
        <v>95</v>
      </c>
      <c r="B28" s="76">
        <v>0</v>
      </c>
      <c r="C28" s="76">
        <v>48958.9</v>
      </c>
      <c r="D28" s="76">
        <v>0</v>
      </c>
      <c r="E28" s="82">
        <f>IF(AND(B28=0,D28=0),0,B28/(IF(C28&gt;0,C28,0)+D28))</f>
        <v>0</v>
      </c>
      <c r="F28" s="102">
        <f>IF(E28&lt;=1.05,1,0)</f>
        <v>1</v>
      </c>
      <c r="G28" s="90"/>
      <c r="H28" s="91">
        <f>F28+G28</f>
        <v>1</v>
      </c>
      <c r="I28" s="76">
        <v>0</v>
      </c>
      <c r="J28" s="76">
        <v>589105.80000000005</v>
      </c>
      <c r="K28" s="76">
        <v>384760.6</v>
      </c>
      <c r="L28" s="76">
        <v>129223.8</v>
      </c>
      <c r="M28" s="76">
        <v>0</v>
      </c>
      <c r="N28" s="82">
        <f>(I28)/(J28-K28-L28)</f>
        <v>0</v>
      </c>
      <c r="O28" s="102">
        <f>IF(N28&lt;=1,1,0)</f>
        <v>1</v>
      </c>
      <c r="P28" s="90"/>
      <c r="Q28" s="91">
        <f>O28+P28</f>
        <v>1</v>
      </c>
      <c r="R28" s="103">
        <v>0</v>
      </c>
      <c r="S28" s="76">
        <v>638064.69999999995</v>
      </c>
      <c r="T28" s="84">
        <v>220789.51199999999</v>
      </c>
      <c r="U28" s="82">
        <f>R28/(S28-T28)</f>
        <v>0</v>
      </c>
      <c r="V28" s="102">
        <f>IF(U28&lt;=0.15,1,0)</f>
        <v>1</v>
      </c>
      <c r="W28" s="90"/>
      <c r="X28" s="91">
        <f>V28+W28</f>
        <v>1</v>
      </c>
      <c r="Y28" s="76">
        <v>-34249.4</v>
      </c>
      <c r="Z28" s="86"/>
      <c r="AA28" s="86">
        <v>-34249.4</v>
      </c>
      <c r="AB28" s="86"/>
      <c r="AC28" s="86">
        <v>596502.1</v>
      </c>
      <c r="AD28" s="86">
        <v>382826.6</v>
      </c>
      <c r="AE28" s="86">
        <v>134710.87</v>
      </c>
      <c r="AF28" s="86">
        <f>AC28-AD28-AE28</f>
        <v>78964.63</v>
      </c>
      <c r="AG28" s="86">
        <f>AF28*10%</f>
        <v>7896.4630000000006</v>
      </c>
      <c r="AH28" s="86">
        <f>IF(AA28&gt;0,AA28,0)+AG28+IF(AB28&gt;0,AB28,0)</f>
        <v>7896.4630000000006</v>
      </c>
      <c r="AI28" s="104">
        <f>IF((Y28-IF(Z28&gt;0,Z28,0)-IF(AA28&gt;0,AA28,0)-IF(AB28&gt;0,AB28,0))/(AC28-AD28-AE28)&gt;0,(Y28-IF(Z28&gt;0,Z28,0)-IF(AA28&gt;0,AA28,0)-IF(AB28&gt;0,AB28,0))/(AC28-AD28-AE28),0)</f>
        <v>0</v>
      </c>
      <c r="AJ28" s="89">
        <f>IF(AI28&lt;=0.1,1.5,0)</f>
        <v>1.5</v>
      </c>
      <c r="AK28" s="90"/>
      <c r="AL28" s="91">
        <f>AJ28+AK28</f>
        <v>1.5</v>
      </c>
      <c r="AM28" s="92"/>
      <c r="AN28" s="90"/>
      <c r="AO28" s="104">
        <v>0.89200000000000002</v>
      </c>
      <c r="AP28" s="89">
        <f>IF(AO28&lt;=1.05,1,0)</f>
        <v>1</v>
      </c>
      <c r="AQ28" s="90"/>
      <c r="AR28" s="107">
        <f>AP28+AQ28</f>
        <v>1</v>
      </c>
      <c r="AS28" s="92"/>
      <c r="AT28" s="90"/>
      <c r="AU28" s="104">
        <v>0.78200000000000003</v>
      </c>
      <c r="AV28" s="89">
        <f>IF(AU28&lt;=1.05,1,0)</f>
        <v>1</v>
      </c>
      <c r="AW28" s="90"/>
      <c r="AX28" s="107">
        <f>AV28+AW28</f>
        <v>1</v>
      </c>
      <c r="AY28" s="95"/>
      <c r="AZ28" s="96"/>
      <c r="BA28" s="89">
        <f>AZ28</f>
        <v>0</v>
      </c>
      <c r="BB28" s="125">
        <f t="shared" si="22"/>
        <v>6.5</v>
      </c>
      <c r="BC28" s="126">
        <v>449427.12</v>
      </c>
      <c r="BD28" s="108">
        <v>43739.487999999998</v>
      </c>
      <c r="BF28" s="109">
        <f t="shared" si="10"/>
        <v>0.78982703129446385</v>
      </c>
      <c r="BG28" s="8">
        <f t="shared" si="23"/>
        <v>0</v>
      </c>
      <c r="BH28" s="110">
        <f t="shared" si="24"/>
        <v>0</v>
      </c>
      <c r="BI28" s="110">
        <f t="shared" si="25"/>
        <v>0</v>
      </c>
      <c r="BJ28" s="110">
        <f t="shared" si="26"/>
        <v>1</v>
      </c>
      <c r="BK28" s="8">
        <f t="shared" si="27"/>
        <v>0</v>
      </c>
      <c r="BM28" s="109">
        <f t="shared" si="11"/>
        <v>0.46960531921955073</v>
      </c>
      <c r="BN28" s="8">
        <f t="shared" si="28"/>
        <v>0</v>
      </c>
      <c r="BO28" s="110">
        <f t="shared" si="29"/>
        <v>0</v>
      </c>
      <c r="BP28" s="110">
        <f t="shared" si="30"/>
        <v>1</v>
      </c>
      <c r="BQ28" s="110">
        <f t="shared" si="31"/>
        <v>0</v>
      </c>
      <c r="BR28" s="8">
        <f t="shared" si="32"/>
        <v>0</v>
      </c>
      <c r="BS28" s="109">
        <f t="shared" si="33"/>
        <v>0.76289712306346324</v>
      </c>
    </row>
    <row r="29" spans="1:71" s="8" customFormat="1" ht="13" x14ac:dyDescent="0.3">
      <c r="A29" s="105" t="s">
        <v>96</v>
      </c>
      <c r="B29" s="76">
        <v>0</v>
      </c>
      <c r="C29" s="76">
        <v>5497.4</v>
      </c>
      <c r="D29" s="76">
        <v>0</v>
      </c>
      <c r="E29" s="82">
        <f>IF(AND(B29=0,D29=0),0,B29/(IF(C29&gt;0,C29,0)+D29))</f>
        <v>0</v>
      </c>
      <c r="F29" s="102">
        <f>IF(E29&lt;=1.05,1,0)</f>
        <v>1</v>
      </c>
      <c r="G29" s="90"/>
      <c r="H29" s="91">
        <f>F29+G29</f>
        <v>1</v>
      </c>
      <c r="I29" s="76">
        <v>0</v>
      </c>
      <c r="J29" s="76">
        <v>423218.7</v>
      </c>
      <c r="K29" s="76">
        <v>335666.7</v>
      </c>
      <c r="L29" s="76">
        <v>61643.8</v>
      </c>
      <c r="M29" s="76">
        <v>0</v>
      </c>
      <c r="N29" s="82">
        <f>(I29)/(J29-K29-L29)</f>
        <v>0</v>
      </c>
      <c r="O29" s="102">
        <f>IF(N29&lt;=1,1,0)</f>
        <v>1</v>
      </c>
      <c r="P29" s="90"/>
      <c r="Q29" s="91">
        <f>O29+P29</f>
        <v>1</v>
      </c>
      <c r="R29" s="103">
        <v>0</v>
      </c>
      <c r="S29" s="76">
        <v>428716</v>
      </c>
      <c r="T29" s="84">
        <v>220743.83199999999</v>
      </c>
      <c r="U29" s="82">
        <f>R29/(S29-T29)</f>
        <v>0</v>
      </c>
      <c r="V29" s="102">
        <f>IF(U29&lt;=0.15,1,0)</f>
        <v>1</v>
      </c>
      <c r="W29" s="90"/>
      <c r="X29" s="91">
        <f>V29+W29</f>
        <v>1</v>
      </c>
      <c r="Y29" s="76">
        <v>5770.6</v>
      </c>
      <c r="Z29" s="86"/>
      <c r="AA29" s="86">
        <v>5770.6</v>
      </c>
      <c r="AB29" s="86"/>
      <c r="AC29" s="86">
        <v>423514.2</v>
      </c>
      <c r="AD29" s="86">
        <v>325910.7</v>
      </c>
      <c r="AE29" s="86">
        <v>69761.820000000007</v>
      </c>
      <c r="AF29" s="86">
        <f>AC29-AD29-AE29</f>
        <v>27841.679999999993</v>
      </c>
      <c r="AG29" s="86">
        <f>AF29*10%</f>
        <v>2784.1679999999997</v>
      </c>
      <c r="AH29" s="86">
        <f>IF(AA29&gt;0,AA29,0)+AG29+IF(AB29&gt;0,AB29,0)</f>
        <v>8554.768</v>
      </c>
      <c r="AI29" s="104">
        <f>IF((Y29-IF(Z29&gt;0,Z29,0)-IF(AA29&gt;0,AA29,0)-IF(AB29&gt;0,AB29,0))/(AC29-AD29-AE29)&gt;0,(Y29-IF(Z29&gt;0,Z29,0)-IF(AA29&gt;0,AA29,0)-IF(AB29&gt;0,AB29,0))/(AC29-AD29-AE29),0)</f>
        <v>0</v>
      </c>
      <c r="AJ29" s="89">
        <f>IF(AI29&lt;=0.1,1.5,0)</f>
        <v>1.5</v>
      </c>
      <c r="AK29" s="90"/>
      <c r="AL29" s="91">
        <f>AJ29+AK29</f>
        <v>1.5</v>
      </c>
      <c r="AM29" s="92"/>
      <c r="AN29" s="90"/>
      <c r="AO29" s="104">
        <v>0.95399999999999996</v>
      </c>
      <c r="AP29" s="89">
        <f>IF(AO29&lt;=1.05,1,0)</f>
        <v>1</v>
      </c>
      <c r="AQ29" s="90"/>
      <c r="AR29" s="107">
        <f>AP29+AQ29</f>
        <v>1</v>
      </c>
      <c r="AS29" s="92"/>
      <c r="AT29" s="90"/>
      <c r="AU29" s="104">
        <v>0.92600000000000005</v>
      </c>
      <c r="AV29" s="89">
        <f>IF(AU29&lt;=1.05,1,0)</f>
        <v>1</v>
      </c>
      <c r="AW29" s="90"/>
      <c r="AX29" s="107">
        <f>AV29+AW29</f>
        <v>1</v>
      </c>
      <c r="AY29" s="95"/>
      <c r="AZ29" s="96"/>
      <c r="BA29" s="89">
        <f>AZ29</f>
        <v>0</v>
      </c>
      <c r="BB29" s="125">
        <f t="shared" si="22"/>
        <v>6.5</v>
      </c>
      <c r="BC29" s="126">
        <v>414596.4</v>
      </c>
      <c r="BD29" s="108">
        <v>50833.507740000001</v>
      </c>
      <c r="BF29" s="109">
        <f t="shared" si="10"/>
        <v>0.86269354701767864</v>
      </c>
      <c r="BG29" s="8">
        <f t="shared" si="23"/>
        <v>0</v>
      </c>
      <c r="BH29" s="110">
        <f t="shared" si="24"/>
        <v>0</v>
      </c>
      <c r="BI29" s="110">
        <f t="shared" si="25"/>
        <v>0</v>
      </c>
      <c r="BJ29" s="110">
        <f t="shared" si="26"/>
        <v>1</v>
      </c>
      <c r="BK29" s="8">
        <f t="shared" si="27"/>
        <v>0</v>
      </c>
      <c r="BM29" s="109">
        <f t="shared" si="11"/>
        <v>0.55551243890673874</v>
      </c>
      <c r="BN29" s="8">
        <f t="shared" si="28"/>
        <v>0</v>
      </c>
      <c r="BO29" s="110">
        <f t="shared" si="29"/>
        <v>0</v>
      </c>
      <c r="BP29" s="110">
        <f t="shared" si="30"/>
        <v>0</v>
      </c>
      <c r="BQ29" s="110">
        <f t="shared" si="31"/>
        <v>1</v>
      </c>
      <c r="BR29" s="8">
        <f t="shared" si="32"/>
        <v>0</v>
      </c>
      <c r="BS29" s="109">
        <f t="shared" si="33"/>
        <v>0.97962684541113143</v>
      </c>
    </row>
    <row r="30" spans="1:71" s="8" customFormat="1" ht="13" x14ac:dyDescent="0.3">
      <c r="A30" s="105" t="s">
        <v>97</v>
      </c>
      <c r="B30" s="76">
        <v>0</v>
      </c>
      <c r="C30" s="76">
        <v>24389.9</v>
      </c>
      <c r="D30" s="76">
        <v>0</v>
      </c>
      <c r="E30" s="82">
        <f t="shared" si="12"/>
        <v>0</v>
      </c>
      <c r="F30" s="102"/>
      <c r="G30" s="90">
        <f>IF(E30&lt;=1.05,1,0)</f>
        <v>1</v>
      </c>
      <c r="H30" s="91">
        <f t="shared" si="0"/>
        <v>1</v>
      </c>
      <c r="I30" s="76">
        <v>0</v>
      </c>
      <c r="J30" s="76">
        <v>557152.6</v>
      </c>
      <c r="K30" s="76">
        <v>404434.3</v>
      </c>
      <c r="L30" s="76">
        <v>99614.7</v>
      </c>
      <c r="M30" s="76">
        <v>0</v>
      </c>
      <c r="N30" s="82">
        <f t="shared" si="14"/>
        <v>0</v>
      </c>
      <c r="O30" s="102"/>
      <c r="P30" s="90">
        <f>IF(N30&lt;=0.5,1,0)</f>
        <v>1</v>
      </c>
      <c r="Q30" s="91">
        <f t="shared" si="2"/>
        <v>1</v>
      </c>
      <c r="R30" s="103">
        <v>0</v>
      </c>
      <c r="S30" s="76">
        <v>581542.5</v>
      </c>
      <c r="T30" s="84">
        <v>228096.17499999999</v>
      </c>
      <c r="U30" s="82">
        <f t="shared" si="15"/>
        <v>0</v>
      </c>
      <c r="V30" s="102"/>
      <c r="W30" s="90">
        <f>IF(U30&lt;=0.15,1,0)</f>
        <v>1</v>
      </c>
      <c r="X30" s="91">
        <f t="shared" si="16"/>
        <v>1</v>
      </c>
      <c r="Y30" s="76">
        <v>-12593.8</v>
      </c>
      <c r="Z30" s="86"/>
      <c r="AA30" s="86">
        <v>-12593.8</v>
      </c>
      <c r="AB30" s="86"/>
      <c r="AC30" s="86">
        <v>530207.4</v>
      </c>
      <c r="AD30" s="86">
        <v>382664.4</v>
      </c>
      <c r="AE30" s="86">
        <v>105278.97</v>
      </c>
      <c r="AF30" s="86">
        <f t="shared" si="17"/>
        <v>42264.03</v>
      </c>
      <c r="AG30" s="86">
        <f>AF30*5%</f>
        <v>2113.2015000000001</v>
      </c>
      <c r="AH30" s="86">
        <f t="shared" si="5"/>
        <v>2113.2015000000001</v>
      </c>
      <c r="AI30" s="104">
        <f t="shared" si="6"/>
        <v>0</v>
      </c>
      <c r="AJ30" s="102"/>
      <c r="AK30" s="106">
        <f>IF(AI30&lt;=0.05,1.5,0)</f>
        <v>1.5</v>
      </c>
      <c r="AL30" s="91">
        <f t="shared" si="7"/>
        <v>1.5</v>
      </c>
      <c r="AM30" s="92"/>
      <c r="AN30" s="90"/>
      <c r="AO30" s="104">
        <v>0.92800000000000005</v>
      </c>
      <c r="AP30" s="102"/>
      <c r="AQ30" s="106">
        <f>IF(AO30&lt;=1.05,1,0)</f>
        <v>1</v>
      </c>
      <c r="AR30" s="107">
        <f t="shared" ref="AR30:AR40" si="38">AP30+AQ30</f>
        <v>1</v>
      </c>
      <c r="AS30" s="92"/>
      <c r="AT30" s="90"/>
      <c r="AU30" s="104">
        <v>0.89</v>
      </c>
      <c r="AV30" s="102"/>
      <c r="AW30" s="106">
        <f>IF(AU30&lt;=1.05,1,0)</f>
        <v>1</v>
      </c>
      <c r="AX30" s="107">
        <f t="shared" ref="AX30:AX40" si="39">AV30+AW30</f>
        <v>1</v>
      </c>
      <c r="AY30" s="95"/>
      <c r="AZ30" s="96"/>
      <c r="BA30" s="89">
        <f t="shared" si="21"/>
        <v>0</v>
      </c>
      <c r="BB30" s="125">
        <f t="shared" si="22"/>
        <v>6.5</v>
      </c>
      <c r="BC30" s="126">
        <v>435611.36</v>
      </c>
      <c r="BD30" s="108">
        <v>44476.896000000001</v>
      </c>
      <c r="BF30" s="109">
        <f t="shared" si="10"/>
        <v>0.86010440360168672</v>
      </c>
      <c r="BG30" s="8">
        <f t="shared" si="23"/>
        <v>0</v>
      </c>
      <c r="BH30" s="110">
        <f t="shared" si="24"/>
        <v>0</v>
      </c>
      <c r="BI30" s="110">
        <f t="shared" si="25"/>
        <v>0</v>
      </c>
      <c r="BJ30" s="110">
        <f t="shared" si="26"/>
        <v>1</v>
      </c>
      <c r="BK30" s="8">
        <f t="shared" si="27"/>
        <v>0</v>
      </c>
      <c r="BM30" s="109">
        <f t="shared" si="11"/>
        <v>0.43789327620635277</v>
      </c>
      <c r="BN30" s="8">
        <f t="shared" si="28"/>
        <v>0</v>
      </c>
      <c r="BO30" s="110">
        <f t="shared" si="29"/>
        <v>0</v>
      </c>
      <c r="BP30" s="110">
        <f t="shared" si="30"/>
        <v>1</v>
      </c>
      <c r="BQ30" s="110">
        <f t="shared" si="31"/>
        <v>0</v>
      </c>
      <c r="BR30" s="8">
        <f t="shared" si="32"/>
        <v>0</v>
      </c>
      <c r="BS30" s="109">
        <f t="shared" si="33"/>
        <v>0.78185287118825253</v>
      </c>
    </row>
    <row r="31" spans="1:71" s="8" customFormat="1" ht="13" x14ac:dyDescent="0.3">
      <c r="A31" s="105" t="s">
        <v>98</v>
      </c>
      <c r="B31" s="76">
        <v>0</v>
      </c>
      <c r="C31" s="76">
        <v>100826.3</v>
      </c>
      <c r="D31" s="76">
        <v>0</v>
      </c>
      <c r="E31" s="82">
        <f>IF(AND(B31=0,D31=0),0,B31/(IF(C31&gt;0,C31,0)+D31))</f>
        <v>0</v>
      </c>
      <c r="F31" s="102"/>
      <c r="G31" s="90">
        <f>IF(E31&lt;=1.05,1,0)</f>
        <v>1</v>
      </c>
      <c r="H31" s="91">
        <f>F31+G31</f>
        <v>1</v>
      </c>
      <c r="I31" s="76">
        <v>0</v>
      </c>
      <c r="J31" s="76">
        <v>856015.4</v>
      </c>
      <c r="K31" s="76">
        <v>618773.80000000005</v>
      </c>
      <c r="L31" s="76">
        <v>171521</v>
      </c>
      <c r="M31" s="76">
        <v>0</v>
      </c>
      <c r="N31" s="82">
        <f>(I31)/(J31-K31-L31)</f>
        <v>0</v>
      </c>
      <c r="O31" s="102"/>
      <c r="P31" s="90">
        <f>IF(N31&lt;=0.5,1,0)</f>
        <v>1</v>
      </c>
      <c r="Q31" s="91">
        <f>O31+P31</f>
        <v>1</v>
      </c>
      <c r="R31" s="103">
        <v>0</v>
      </c>
      <c r="S31" s="76">
        <v>956841.7</v>
      </c>
      <c r="T31" s="84">
        <v>431284.00199999998</v>
      </c>
      <c r="U31" s="82">
        <f>R31/(S31-T31)</f>
        <v>0</v>
      </c>
      <c r="V31" s="102"/>
      <c r="W31" s="90">
        <f>IF(U31&lt;=0.15,1,0)</f>
        <v>1</v>
      </c>
      <c r="X31" s="91">
        <f>V31+W31</f>
        <v>1</v>
      </c>
      <c r="Y31" s="76">
        <v>14946.5</v>
      </c>
      <c r="Z31" s="86"/>
      <c r="AA31" s="86">
        <v>14946.5</v>
      </c>
      <c r="AB31" s="86"/>
      <c r="AC31" s="86">
        <v>808068.4</v>
      </c>
      <c r="AD31" s="86">
        <v>556359.4</v>
      </c>
      <c r="AE31" s="86">
        <v>179065.21</v>
      </c>
      <c r="AF31" s="86">
        <f>AC31-AD31-AE31</f>
        <v>72643.790000000008</v>
      </c>
      <c r="AG31" s="86">
        <f>AF31*5%</f>
        <v>3632.1895000000004</v>
      </c>
      <c r="AH31" s="86">
        <f>IF(AA31&gt;0,AA31,0)+AG31+IF(AB31&gt;0,AB31,0)</f>
        <v>18578.6895</v>
      </c>
      <c r="AI31" s="104">
        <f>IF((Y31-IF(Z31&gt;0,Z31,0)-IF(AA31&gt;0,AA31,0)-IF(AB31&gt;0,AB31,0))/(AC31-AD31-AE31)&gt;0,(Y31-IF(Z31&gt;0,Z31,0)-IF(AA31&gt;0,AA31,0)-IF(AB31&gt;0,AB31,0))/(AC31-AD31-AE31),0)</f>
        <v>0</v>
      </c>
      <c r="AJ31" s="89"/>
      <c r="AK31" s="106">
        <f>IF(AI31&lt;=0.05,1.5,0)</f>
        <v>1.5</v>
      </c>
      <c r="AL31" s="91">
        <f>AJ31+AK31</f>
        <v>1.5</v>
      </c>
      <c r="AM31" s="92"/>
      <c r="AN31" s="90"/>
      <c r="AO31" s="104">
        <v>0.90100000000000002</v>
      </c>
      <c r="AP31" s="89"/>
      <c r="AQ31" s="106">
        <f>IF(AO31&lt;=1.05,1,0)</f>
        <v>1</v>
      </c>
      <c r="AR31" s="107">
        <f>AP31+AQ31</f>
        <v>1</v>
      </c>
      <c r="AS31" s="92"/>
      <c r="AT31" s="90"/>
      <c r="AU31" s="104">
        <v>0.94499999999999995</v>
      </c>
      <c r="AV31" s="89"/>
      <c r="AW31" s="106">
        <f>IF(AU31&lt;=1.05,1,0)</f>
        <v>1</v>
      </c>
      <c r="AX31" s="107">
        <f>AV31+AW31</f>
        <v>1</v>
      </c>
      <c r="AY31" s="95"/>
      <c r="AZ31" s="96"/>
      <c r="BA31" s="89">
        <f>AZ31</f>
        <v>0</v>
      </c>
      <c r="BB31" s="125">
        <f t="shared" si="22"/>
        <v>6.5</v>
      </c>
      <c r="BC31" s="126">
        <v>646628</v>
      </c>
      <c r="BD31" s="108">
        <v>32919.396999999997</v>
      </c>
      <c r="BF31" s="109">
        <f t="shared" si="10"/>
        <v>0.80720064210302034</v>
      </c>
      <c r="BG31" s="8">
        <f t="shared" si="23"/>
        <v>0</v>
      </c>
      <c r="BH31" s="110">
        <f t="shared" si="24"/>
        <v>0</v>
      </c>
      <c r="BI31" s="110">
        <f t="shared" si="25"/>
        <v>0</v>
      </c>
      <c r="BJ31" s="110">
        <f t="shared" si="26"/>
        <v>1</v>
      </c>
      <c r="BK31" s="8">
        <f t="shared" si="27"/>
        <v>0</v>
      </c>
      <c r="BM31" s="109">
        <f t="shared" si="11"/>
        <v>0.48134043765702478</v>
      </c>
      <c r="BN31" s="8">
        <f t="shared" si="28"/>
        <v>0</v>
      </c>
      <c r="BO31" s="110">
        <f t="shared" si="29"/>
        <v>0</v>
      </c>
      <c r="BP31" s="110">
        <f t="shared" si="30"/>
        <v>1</v>
      </c>
      <c r="BQ31" s="110">
        <f t="shared" si="31"/>
        <v>0</v>
      </c>
      <c r="BR31" s="8">
        <f t="shared" si="32"/>
        <v>0</v>
      </c>
      <c r="BS31" s="109">
        <f t="shared" si="33"/>
        <v>0.7553929520426852</v>
      </c>
    </row>
    <row r="32" spans="1:71" s="8" customFormat="1" ht="13" x14ac:dyDescent="0.3">
      <c r="A32" s="105" t="s">
        <v>99</v>
      </c>
      <c r="B32" s="76">
        <v>0</v>
      </c>
      <c r="C32" s="76">
        <v>55900</v>
      </c>
      <c r="D32" s="76">
        <v>0</v>
      </c>
      <c r="E32" s="82">
        <f>IF(AND(B32=0,D32=0),0,B32/(IF(C32&gt;0,C32,0)+D32))</f>
        <v>0</v>
      </c>
      <c r="F32" s="102">
        <f>IF(E32&lt;=1.05,1,0)</f>
        <v>1</v>
      </c>
      <c r="G32" s="90"/>
      <c r="H32" s="91">
        <f>F32+G32</f>
        <v>1</v>
      </c>
      <c r="I32" s="76">
        <v>0</v>
      </c>
      <c r="J32" s="76">
        <v>1189404.2</v>
      </c>
      <c r="K32" s="76">
        <v>884866.3</v>
      </c>
      <c r="L32" s="76">
        <v>227345.3</v>
      </c>
      <c r="M32" s="76">
        <v>0</v>
      </c>
      <c r="N32" s="82">
        <f>(I32)/(J32-K32-L32)</f>
        <v>0</v>
      </c>
      <c r="O32" s="102">
        <f>IF(N32&lt;=1,1,0)</f>
        <v>1</v>
      </c>
      <c r="P32" s="90"/>
      <c r="Q32" s="91">
        <f>O32+P32</f>
        <v>1</v>
      </c>
      <c r="R32" s="103">
        <v>0</v>
      </c>
      <c r="S32" s="76">
        <v>1245304.2</v>
      </c>
      <c r="T32" s="84">
        <v>431950.272</v>
      </c>
      <c r="U32" s="82">
        <f>R32/(S32-T32)</f>
        <v>0</v>
      </c>
      <c r="V32" s="102">
        <f>IF(U32&lt;=0.15,1,0)</f>
        <v>1</v>
      </c>
      <c r="W32" s="90"/>
      <c r="X32" s="91">
        <f>V32+W32</f>
        <v>1</v>
      </c>
      <c r="Y32" s="76">
        <v>2670.4</v>
      </c>
      <c r="Z32" s="86"/>
      <c r="AA32" s="86">
        <v>2670.4</v>
      </c>
      <c r="AB32" s="86"/>
      <c r="AC32" s="86">
        <v>1215476.7</v>
      </c>
      <c r="AD32" s="86">
        <v>864405.3</v>
      </c>
      <c r="AE32" s="86">
        <v>267880.46000000002</v>
      </c>
      <c r="AF32" s="86">
        <f>AC32-AD32-AE32</f>
        <v>83190.939999999886</v>
      </c>
      <c r="AG32" s="86">
        <f>AF32*10%</f>
        <v>8319.0939999999882</v>
      </c>
      <c r="AH32" s="86">
        <f>IF(AA32&gt;0,AA32,0)+AG32+IF(AB32&gt;0,AB32,0)</f>
        <v>10989.493999999988</v>
      </c>
      <c r="AI32" s="104">
        <f>IF((Y32-IF(Z32&gt;0,Z32,0)-IF(AA32&gt;0,AA32,0)-IF(AB32&gt;0,AB32,0))/(AC32-AD32-AE32)&gt;0,(Y32-IF(Z32&gt;0,Z32,0)-IF(AA32&gt;0,AA32,0)-IF(AB32&gt;0,AB32,0))/(AC32-AD32-AE32),0)</f>
        <v>0</v>
      </c>
      <c r="AJ32" s="89">
        <f>IF(AI32&lt;=0.1,1.5,0)</f>
        <v>1.5</v>
      </c>
      <c r="AK32" s="90"/>
      <c r="AL32" s="91">
        <f>AJ32+AK32</f>
        <v>1.5</v>
      </c>
      <c r="AM32" s="92"/>
      <c r="AN32" s="90"/>
      <c r="AO32" s="104">
        <v>0.997</v>
      </c>
      <c r="AP32" s="89">
        <f>IF(AO32&lt;=1.05,1,0)</f>
        <v>1</v>
      </c>
      <c r="AQ32" s="90"/>
      <c r="AR32" s="107">
        <f>AP32+AQ32</f>
        <v>1</v>
      </c>
      <c r="AS32" s="92"/>
      <c r="AT32" s="90"/>
      <c r="AU32" s="104">
        <v>0.98</v>
      </c>
      <c r="AV32" s="89">
        <f>IF(AU32&lt;=1.05,1,0)</f>
        <v>1</v>
      </c>
      <c r="AW32" s="90"/>
      <c r="AX32" s="107">
        <f>AV32+AW32</f>
        <v>1</v>
      </c>
      <c r="AY32" s="95"/>
      <c r="AZ32" s="96"/>
      <c r="BA32" s="89">
        <f>AZ32</f>
        <v>0</v>
      </c>
      <c r="BB32" s="125">
        <f t="shared" si="22"/>
        <v>6.5</v>
      </c>
      <c r="BC32" s="126">
        <v>736385.92</v>
      </c>
      <c r="BD32" s="108">
        <v>65081.662590000007</v>
      </c>
      <c r="BF32" s="109">
        <f t="shared" si="10"/>
        <v>0.89382497255089399</v>
      </c>
      <c r="BG32" s="8">
        <f t="shared" si="23"/>
        <v>0</v>
      </c>
      <c r="BH32" s="110">
        <f t="shared" si="24"/>
        <v>0</v>
      </c>
      <c r="BI32" s="110">
        <f t="shared" si="25"/>
        <v>0</v>
      </c>
      <c r="BJ32" s="110">
        <f t="shared" si="26"/>
        <v>1</v>
      </c>
      <c r="BK32" s="8">
        <f t="shared" si="27"/>
        <v>0</v>
      </c>
      <c r="BM32" s="109">
        <f t="shared" si="11"/>
        <v>0.38606567578589418</v>
      </c>
      <c r="BN32" s="8">
        <f t="shared" si="28"/>
        <v>0</v>
      </c>
      <c r="BO32" s="110">
        <f t="shared" si="29"/>
        <v>0</v>
      </c>
      <c r="BP32" s="110">
        <f t="shared" si="30"/>
        <v>1</v>
      </c>
      <c r="BQ32" s="110">
        <f t="shared" si="31"/>
        <v>0</v>
      </c>
      <c r="BR32" s="8">
        <f t="shared" si="32"/>
        <v>0</v>
      </c>
      <c r="BS32" s="109">
        <f t="shared" si="33"/>
        <v>0.61912167453250966</v>
      </c>
    </row>
    <row r="33" spans="1:71" s="8" customFormat="1" ht="13" x14ac:dyDescent="0.3">
      <c r="A33" s="105" t="s">
        <v>100</v>
      </c>
      <c r="B33" s="76">
        <v>0</v>
      </c>
      <c r="C33" s="76">
        <v>49087.9</v>
      </c>
      <c r="D33" s="76">
        <v>0</v>
      </c>
      <c r="E33" s="82">
        <f>IF(AND(B33=0,D33=0),0,B33/(IF(C33&gt;0,C33,0)+D33))</f>
        <v>0</v>
      </c>
      <c r="F33" s="102">
        <f>IF(E33&lt;=1.05,1,0)</f>
        <v>1</v>
      </c>
      <c r="G33" s="90"/>
      <c r="H33" s="91">
        <f>F33+G33</f>
        <v>1</v>
      </c>
      <c r="I33" s="76">
        <v>0</v>
      </c>
      <c r="J33" s="76">
        <v>1602301.5</v>
      </c>
      <c r="K33" s="76">
        <v>1237416.7</v>
      </c>
      <c r="L33" s="76">
        <v>238665.4</v>
      </c>
      <c r="M33" s="76">
        <v>0</v>
      </c>
      <c r="N33" s="82">
        <f>(I33)/(J33-K33-L33)</f>
        <v>0</v>
      </c>
      <c r="O33" s="102">
        <f>IF(N33&lt;=1,1,0)</f>
        <v>1</v>
      </c>
      <c r="P33" s="90"/>
      <c r="Q33" s="91">
        <f>O33+P33</f>
        <v>1</v>
      </c>
      <c r="R33" s="103">
        <v>0</v>
      </c>
      <c r="S33" s="76">
        <v>1651389.3</v>
      </c>
      <c r="T33" s="84">
        <v>681685.78</v>
      </c>
      <c r="U33" s="82">
        <f>R33/(S33-T33)</f>
        <v>0</v>
      </c>
      <c r="V33" s="102">
        <f>IF(U33&lt;=0.15,1,0)</f>
        <v>1</v>
      </c>
      <c r="W33" s="90"/>
      <c r="X33" s="91">
        <f>V33+W33</f>
        <v>1</v>
      </c>
      <c r="Y33" s="76">
        <v>-4853.7</v>
      </c>
      <c r="Z33" s="86"/>
      <c r="AA33" s="86">
        <v>-4853.7</v>
      </c>
      <c r="AB33" s="86"/>
      <c r="AC33" s="86">
        <v>1188444.7</v>
      </c>
      <c r="AD33" s="86">
        <v>813122.8</v>
      </c>
      <c r="AE33" s="86">
        <v>244497.61</v>
      </c>
      <c r="AF33" s="86">
        <f>AC33-AD33-AE33</f>
        <v>130824.28999999992</v>
      </c>
      <c r="AG33" s="86">
        <f>AF33*10%</f>
        <v>13082.428999999993</v>
      </c>
      <c r="AH33" s="86">
        <f>IF(AA33&gt;0,AA33,0)+AG33+IF(AB33&gt;0,AB33,0)</f>
        <v>13082.428999999993</v>
      </c>
      <c r="AI33" s="104">
        <f>IF((Y33-IF(Z33&gt;0,Z33,0)-IF(AA33&gt;0,AA33,0)-IF(AB33&gt;0,AB33,0))/(AC33-AD33-AE33)&gt;0,(Y33-IF(Z33&gt;0,Z33,0)-IF(AA33&gt;0,AA33,0)-IF(AB33&gt;0,AB33,0))/(AC33-AD33-AE33),0)</f>
        <v>0</v>
      </c>
      <c r="AJ33" s="89">
        <f>IF(AI33&lt;=0.1,1.5,0)</f>
        <v>1.5</v>
      </c>
      <c r="AK33" s="90"/>
      <c r="AL33" s="91">
        <f>AJ33+AK33</f>
        <v>1.5</v>
      </c>
      <c r="AM33" s="92"/>
      <c r="AN33" s="90"/>
      <c r="AO33" s="104">
        <v>0.83299999999999996</v>
      </c>
      <c r="AP33" s="89">
        <f>IF(AO33&lt;=1.05,1,0)</f>
        <v>1</v>
      </c>
      <c r="AQ33" s="90"/>
      <c r="AR33" s="107">
        <f>AP33+AQ33</f>
        <v>1</v>
      </c>
      <c r="AS33" s="92"/>
      <c r="AT33" s="90"/>
      <c r="AU33" s="104">
        <v>0.94499999999999995</v>
      </c>
      <c r="AV33" s="89">
        <f>IF(AU33&lt;=1.05,1,0)</f>
        <v>1</v>
      </c>
      <c r="AW33" s="90"/>
      <c r="AX33" s="107">
        <f>AV33+AW33</f>
        <v>1</v>
      </c>
      <c r="AY33" s="95"/>
      <c r="AZ33" s="96"/>
      <c r="BA33" s="89">
        <f>AZ33</f>
        <v>0</v>
      </c>
      <c r="BB33" s="125">
        <f t="shared" si="22"/>
        <v>6.5</v>
      </c>
      <c r="BC33" s="126">
        <v>1081382.75</v>
      </c>
      <c r="BD33" s="108">
        <v>83110.524000000005</v>
      </c>
      <c r="BF33" s="109">
        <f t="shared" si="10"/>
        <v>0.74184116976174819</v>
      </c>
      <c r="BG33" s="8">
        <f t="shared" si="23"/>
        <v>0</v>
      </c>
      <c r="BH33" s="110">
        <f t="shared" si="24"/>
        <v>0</v>
      </c>
      <c r="BI33" s="110">
        <f t="shared" si="25"/>
        <v>0</v>
      </c>
      <c r="BJ33" s="110">
        <f t="shared" si="26"/>
        <v>1</v>
      </c>
      <c r="BK33" s="8">
        <f t="shared" si="27"/>
        <v>0</v>
      </c>
      <c r="BM33" s="109">
        <f t="shared" si="11"/>
        <v>0.34952251738651607</v>
      </c>
      <c r="BN33" s="8">
        <f t="shared" si="28"/>
        <v>0</v>
      </c>
      <c r="BO33" s="110">
        <f t="shared" si="29"/>
        <v>0</v>
      </c>
      <c r="BP33" s="110">
        <f t="shared" si="30"/>
        <v>1</v>
      </c>
      <c r="BQ33" s="110">
        <f t="shared" si="31"/>
        <v>0</v>
      </c>
      <c r="BR33" s="8">
        <f t="shared" si="32"/>
        <v>0</v>
      </c>
      <c r="BS33" s="109">
        <f t="shared" si="33"/>
        <v>0.67489342673647879</v>
      </c>
    </row>
    <row r="34" spans="1:71" s="8" customFormat="1" ht="13" x14ac:dyDescent="0.3">
      <c r="A34" s="105" t="s">
        <v>101</v>
      </c>
      <c r="B34" s="76">
        <v>0</v>
      </c>
      <c r="C34" s="76">
        <v>17261</v>
      </c>
      <c r="D34" s="76">
        <v>0</v>
      </c>
      <c r="E34" s="82">
        <f t="shared" si="12"/>
        <v>0</v>
      </c>
      <c r="F34" s="102"/>
      <c r="G34" s="90">
        <f>IF(E34&lt;=1.05,1,0)</f>
        <v>1</v>
      </c>
      <c r="H34" s="91">
        <f t="shared" si="0"/>
        <v>1</v>
      </c>
      <c r="I34" s="76">
        <v>0</v>
      </c>
      <c r="J34" s="76">
        <v>305665.3</v>
      </c>
      <c r="K34" s="76">
        <v>243506.9</v>
      </c>
      <c r="L34" s="76">
        <v>41751.599999999999</v>
      </c>
      <c r="M34" s="76">
        <v>0</v>
      </c>
      <c r="N34" s="82">
        <f t="shared" si="14"/>
        <v>0</v>
      </c>
      <c r="O34" s="102"/>
      <c r="P34" s="90">
        <f>IF(N34&lt;=0.5,1,0)</f>
        <v>1</v>
      </c>
      <c r="Q34" s="91">
        <f t="shared" si="2"/>
        <v>1</v>
      </c>
      <c r="R34" s="103">
        <v>0</v>
      </c>
      <c r="S34" s="76">
        <v>322926.2</v>
      </c>
      <c r="T34" s="84">
        <v>132227.519</v>
      </c>
      <c r="U34" s="82">
        <f t="shared" si="15"/>
        <v>0</v>
      </c>
      <c r="V34" s="102"/>
      <c r="W34" s="90">
        <f>IF(U34&lt;=0.15,1,0)</f>
        <v>1</v>
      </c>
      <c r="X34" s="91">
        <f t="shared" si="16"/>
        <v>1</v>
      </c>
      <c r="Y34" s="76">
        <v>1746.1</v>
      </c>
      <c r="Z34" s="86"/>
      <c r="AA34" s="86">
        <v>1746.1</v>
      </c>
      <c r="AB34" s="86"/>
      <c r="AC34" s="86">
        <v>288058.90000000002</v>
      </c>
      <c r="AD34" s="86">
        <v>226868.1</v>
      </c>
      <c r="AE34" s="86">
        <v>43353.63</v>
      </c>
      <c r="AF34" s="86">
        <f t="shared" si="17"/>
        <v>17837.17000000002</v>
      </c>
      <c r="AG34" s="86">
        <f>AF34*5%</f>
        <v>891.85850000000107</v>
      </c>
      <c r="AH34" s="86">
        <f t="shared" si="5"/>
        <v>2637.9585000000011</v>
      </c>
      <c r="AI34" s="104">
        <f t="shared" si="6"/>
        <v>0</v>
      </c>
      <c r="AJ34" s="89"/>
      <c r="AK34" s="106">
        <f>IF(AI34&lt;=0.05,1.5,0)</f>
        <v>1.5</v>
      </c>
      <c r="AL34" s="91">
        <f t="shared" si="7"/>
        <v>1.5</v>
      </c>
      <c r="AM34" s="92"/>
      <c r="AN34" s="90"/>
      <c r="AO34" s="104">
        <v>0.71</v>
      </c>
      <c r="AP34" s="89"/>
      <c r="AQ34" s="106">
        <f>IF(AO34&lt;=1.05,1,0)</f>
        <v>1</v>
      </c>
      <c r="AR34" s="107">
        <f t="shared" ref="AR34:AR40" si="40">AP34+AQ34</f>
        <v>1</v>
      </c>
      <c r="AS34" s="92"/>
      <c r="AT34" s="90"/>
      <c r="AU34" s="104">
        <v>0.82299999999999995</v>
      </c>
      <c r="AV34" s="89"/>
      <c r="AW34" s="106">
        <f>IF(AU34&lt;=1.05,1,0)</f>
        <v>1</v>
      </c>
      <c r="AX34" s="107">
        <f t="shared" ref="AX34:AX40" si="41">AV34+AW34</f>
        <v>1</v>
      </c>
      <c r="AY34" s="95"/>
      <c r="AZ34" s="96"/>
      <c r="BA34" s="89">
        <f t="shared" si="21"/>
        <v>0</v>
      </c>
      <c r="BB34" s="125">
        <f t="shared" si="22"/>
        <v>6.5</v>
      </c>
      <c r="BC34" s="126">
        <v>197211.78</v>
      </c>
      <c r="BD34" s="108">
        <v>14925.824000000001</v>
      </c>
      <c r="BF34" s="109">
        <f t="shared" si="10"/>
        <v>0.88553544295420161</v>
      </c>
      <c r="BG34" s="8">
        <f t="shared" si="23"/>
        <v>0</v>
      </c>
      <c r="BH34" s="110">
        <f t="shared" si="24"/>
        <v>0</v>
      </c>
      <c r="BI34" s="110">
        <f t="shared" si="25"/>
        <v>0</v>
      </c>
      <c r="BJ34" s="110">
        <f t="shared" si="26"/>
        <v>1</v>
      </c>
      <c r="BK34" s="8">
        <f t="shared" si="27"/>
        <v>0</v>
      </c>
      <c r="BM34" s="109">
        <f t="shared" si="11"/>
        <v>0.32678822153519138</v>
      </c>
      <c r="BN34" s="8">
        <f t="shared" si="28"/>
        <v>0</v>
      </c>
      <c r="BO34" s="110">
        <f t="shared" si="29"/>
        <v>0</v>
      </c>
      <c r="BP34" s="110">
        <f t="shared" si="30"/>
        <v>1</v>
      </c>
      <c r="BQ34" s="110">
        <f t="shared" si="31"/>
        <v>0</v>
      </c>
      <c r="BR34" s="8">
        <f t="shared" si="32"/>
        <v>0</v>
      </c>
      <c r="BS34" s="109">
        <f t="shared" si="33"/>
        <v>0.64518864261007058</v>
      </c>
    </row>
    <row r="35" spans="1:71" s="8" customFormat="1" ht="13" x14ac:dyDescent="0.3">
      <c r="A35" s="105" t="s">
        <v>102</v>
      </c>
      <c r="B35" s="76">
        <v>0</v>
      </c>
      <c r="C35" s="76">
        <v>19392.2</v>
      </c>
      <c r="D35" s="76">
        <v>0</v>
      </c>
      <c r="E35" s="82">
        <f>IF(AND(B35=0,D35=0),0,B35/(IF(C35&gt;0,C35,0)+D35))</f>
        <v>0</v>
      </c>
      <c r="F35" s="102">
        <f t="shared" ref="F35:F40" si="42">IF(E35&lt;=1.05,1,0)</f>
        <v>1</v>
      </c>
      <c r="G35" s="90"/>
      <c r="H35" s="91">
        <f>F35+G35</f>
        <v>1</v>
      </c>
      <c r="I35" s="76">
        <v>0</v>
      </c>
      <c r="J35" s="76">
        <v>1048094.4</v>
      </c>
      <c r="K35" s="76">
        <v>877360.5</v>
      </c>
      <c r="L35" s="76">
        <v>88800.1</v>
      </c>
      <c r="M35" s="76">
        <v>0</v>
      </c>
      <c r="N35" s="82">
        <f>(I35)/(J35-K35-L35)</f>
        <v>0</v>
      </c>
      <c r="O35" s="102">
        <f t="shared" ref="O35:O40" si="43">IF(N35&lt;=1,1,0)</f>
        <v>1</v>
      </c>
      <c r="P35" s="90"/>
      <c r="Q35" s="91">
        <f>O35+P35</f>
        <v>1</v>
      </c>
      <c r="R35" s="103">
        <v>0</v>
      </c>
      <c r="S35" s="76">
        <v>1067486.6000000001</v>
      </c>
      <c r="T35" s="84">
        <v>251829.49900000001</v>
      </c>
      <c r="U35" s="82">
        <f>R35/(S35-T35)</f>
        <v>0</v>
      </c>
      <c r="V35" s="102">
        <f t="shared" ref="V35:V40" si="44">IF(U35&lt;=0.15,1,0)</f>
        <v>1</v>
      </c>
      <c r="W35" s="90"/>
      <c r="X35" s="91">
        <f>V35+W35</f>
        <v>1</v>
      </c>
      <c r="Y35" s="76">
        <v>339.8</v>
      </c>
      <c r="Z35" s="86"/>
      <c r="AA35" s="86">
        <v>339.8</v>
      </c>
      <c r="AB35" s="86"/>
      <c r="AC35" s="86">
        <v>891557.9</v>
      </c>
      <c r="AD35" s="86">
        <v>713837.8</v>
      </c>
      <c r="AE35" s="86">
        <v>93793.66</v>
      </c>
      <c r="AF35" s="86">
        <f>AC35-AD35-AE35</f>
        <v>83926.439999999973</v>
      </c>
      <c r="AG35" s="86">
        <f>AF35*10%</f>
        <v>8392.6439999999984</v>
      </c>
      <c r="AH35" s="86">
        <f>IF(AA35&gt;0,AA35,0)+AG35+IF(AB35&gt;0,AB35,0)</f>
        <v>8732.4439999999977</v>
      </c>
      <c r="AI35" s="104">
        <f>IF((Y35-IF(Z35&gt;0,Z35,0)-IF(AA35&gt;0,AA35,0)-IF(AB35&gt;0,AB35,0))/(AC35-AD35-AE35)&gt;0,(Y35-IF(Z35&gt;0,Z35,0)-IF(AA35&gt;0,AA35,0)-IF(AB35&gt;0,AB35,0))/(AC35-AD35-AE35),0)</f>
        <v>0</v>
      </c>
      <c r="AJ35" s="89">
        <f t="shared" ref="AJ35:AJ40" si="45">IF(AI35&lt;=0.1,1.5,0)</f>
        <v>1.5</v>
      </c>
      <c r="AK35" s="90"/>
      <c r="AL35" s="91">
        <f>AJ35+AK35</f>
        <v>1.5</v>
      </c>
      <c r="AM35" s="92"/>
      <c r="AN35" s="90"/>
      <c r="AO35" s="104">
        <v>0.96399999999999997</v>
      </c>
      <c r="AP35" s="89">
        <f t="shared" ref="AP35:AP40" si="46">IF(AO35&lt;=1.05,1,0)</f>
        <v>1</v>
      </c>
      <c r="AQ35" s="90"/>
      <c r="AR35" s="107">
        <f>AP35+AQ35</f>
        <v>1</v>
      </c>
      <c r="AS35" s="92"/>
      <c r="AT35" s="90"/>
      <c r="AU35" s="104">
        <v>0.97699999999999998</v>
      </c>
      <c r="AV35" s="89">
        <f t="shared" ref="AV35:AV40" si="47">IF(AU35&lt;=1.05,1,0)</f>
        <v>1</v>
      </c>
      <c r="AW35" s="90"/>
      <c r="AX35" s="107">
        <f>AV35+AW35</f>
        <v>1</v>
      </c>
      <c r="AY35" s="95"/>
      <c r="AZ35" s="96"/>
      <c r="BA35" s="89">
        <f>AZ35</f>
        <v>0</v>
      </c>
      <c r="BB35" s="125">
        <f t="shared" si="22"/>
        <v>6.5</v>
      </c>
      <c r="BC35" s="126">
        <v>464562.43</v>
      </c>
      <c r="BD35" s="108">
        <v>56325.591999999997</v>
      </c>
      <c r="BF35" s="109">
        <f t="shared" si="10"/>
        <v>0.86880926363624122</v>
      </c>
      <c r="BG35" s="8">
        <f t="shared" si="23"/>
        <v>0</v>
      </c>
      <c r="BH35" s="110">
        <f t="shared" si="24"/>
        <v>0</v>
      </c>
      <c r="BI35" s="110">
        <f t="shared" si="25"/>
        <v>0</v>
      </c>
      <c r="BJ35" s="110">
        <f t="shared" si="26"/>
        <v>1</v>
      </c>
      <c r="BK35" s="8">
        <f t="shared" si="27"/>
        <v>0</v>
      </c>
      <c r="BM35" s="109">
        <f t="shared" si="11"/>
        <v>0.18225805484800592</v>
      </c>
      <c r="BN35" s="8">
        <f t="shared" si="28"/>
        <v>0</v>
      </c>
      <c r="BO35" s="110">
        <f t="shared" si="29"/>
        <v>1</v>
      </c>
      <c r="BP35" s="110">
        <f t="shared" si="30"/>
        <v>0</v>
      </c>
      <c r="BQ35" s="110">
        <f t="shared" si="31"/>
        <v>0</v>
      </c>
      <c r="BR35" s="8">
        <f t="shared" si="32"/>
        <v>0</v>
      </c>
      <c r="BS35" s="109">
        <f t="shared" si="33"/>
        <v>0.44324483557969585</v>
      </c>
    </row>
    <row r="36" spans="1:71" s="8" customFormat="1" ht="13" x14ac:dyDescent="0.3">
      <c r="A36" s="105" t="s">
        <v>103</v>
      </c>
      <c r="B36" s="76">
        <v>0</v>
      </c>
      <c r="C36" s="76">
        <v>20379.599999999999</v>
      </c>
      <c r="D36" s="76">
        <v>6990.9</v>
      </c>
      <c r="E36" s="82">
        <f t="shared" si="12"/>
        <v>0</v>
      </c>
      <c r="F36" s="102">
        <f t="shared" si="42"/>
        <v>1</v>
      </c>
      <c r="G36" s="90"/>
      <c r="H36" s="91">
        <f t="shared" si="0"/>
        <v>1</v>
      </c>
      <c r="I36" s="76">
        <v>13981.9</v>
      </c>
      <c r="J36" s="76">
        <v>1827321.5</v>
      </c>
      <c r="K36" s="76">
        <v>1261094.8</v>
      </c>
      <c r="L36" s="76">
        <v>225765.7</v>
      </c>
      <c r="M36" s="76">
        <v>0</v>
      </c>
      <c r="N36" s="82">
        <f t="shared" si="14"/>
        <v>4.1067552524371373E-2</v>
      </c>
      <c r="O36" s="102">
        <f t="shared" si="43"/>
        <v>1</v>
      </c>
      <c r="P36" s="90"/>
      <c r="Q36" s="91">
        <f t="shared" si="2"/>
        <v>1</v>
      </c>
      <c r="R36" s="103">
        <v>20.3</v>
      </c>
      <c r="S36" s="76">
        <v>1841860</v>
      </c>
      <c r="T36" s="84">
        <v>542965.83499999996</v>
      </c>
      <c r="U36" s="82">
        <f t="shared" si="15"/>
        <v>1.5628679030981712E-5</v>
      </c>
      <c r="V36" s="102">
        <f t="shared" si="44"/>
        <v>1</v>
      </c>
      <c r="W36" s="90"/>
      <c r="X36" s="91">
        <f t="shared" si="16"/>
        <v>1</v>
      </c>
      <c r="Y36" s="76">
        <v>31733.3</v>
      </c>
      <c r="Z36" s="86"/>
      <c r="AA36" s="86">
        <v>24742.400000000001</v>
      </c>
      <c r="AB36" s="86"/>
      <c r="AC36" s="86">
        <v>1687370.3</v>
      </c>
      <c r="AD36" s="86">
        <v>1111669.5</v>
      </c>
      <c r="AE36" s="86">
        <v>230540.33</v>
      </c>
      <c r="AF36" s="86">
        <f t="shared" si="17"/>
        <v>345160.47000000009</v>
      </c>
      <c r="AG36" s="86">
        <f>AF36*5%</f>
        <v>17258.023500000007</v>
      </c>
      <c r="AH36" s="86">
        <f t="shared" si="5"/>
        <v>42000.423500000004</v>
      </c>
      <c r="AI36" s="104">
        <f t="shared" si="6"/>
        <v>2.0254057482306697E-2</v>
      </c>
      <c r="AJ36" s="89">
        <f t="shared" si="45"/>
        <v>1.5</v>
      </c>
      <c r="AK36" s="106"/>
      <c r="AL36" s="91">
        <f t="shared" si="7"/>
        <v>1.5</v>
      </c>
      <c r="AM36" s="92"/>
      <c r="AN36" s="90"/>
      <c r="AO36" s="104">
        <v>0.84699999999999998</v>
      </c>
      <c r="AP36" s="89">
        <f t="shared" si="46"/>
        <v>1</v>
      </c>
      <c r="AQ36" s="106"/>
      <c r="AR36" s="107">
        <f t="shared" ref="AR36:AR40" si="48">AP36+AQ36</f>
        <v>1</v>
      </c>
      <c r="AS36" s="92"/>
      <c r="AT36" s="90"/>
      <c r="AU36" s="104">
        <v>0.82399999999999995</v>
      </c>
      <c r="AV36" s="89">
        <f t="shared" si="47"/>
        <v>1</v>
      </c>
      <c r="AW36" s="106"/>
      <c r="AX36" s="107">
        <f t="shared" ref="AX36:AX40" si="49">AV36+AW36</f>
        <v>1</v>
      </c>
      <c r="AY36" s="95"/>
      <c r="AZ36" s="96"/>
      <c r="BA36" s="89">
        <f t="shared" si="21"/>
        <v>0</v>
      </c>
      <c r="BB36" s="125">
        <f t="shared" si="22"/>
        <v>6.5</v>
      </c>
      <c r="BC36" s="126">
        <v>1048238.75</v>
      </c>
      <c r="BD36" s="108">
        <v>19553.02</v>
      </c>
      <c r="BF36" s="109">
        <f t="shared" si="10"/>
        <v>0.69839293662664981</v>
      </c>
      <c r="BG36" s="8">
        <f t="shared" si="23"/>
        <v>0</v>
      </c>
      <c r="BH36" s="110">
        <f t="shared" si="24"/>
        <v>0</v>
      </c>
      <c r="BI36" s="110">
        <f t="shared" si="25"/>
        <v>1</v>
      </c>
      <c r="BJ36" s="110">
        <f t="shared" si="26"/>
        <v>0</v>
      </c>
      <c r="BK36" s="8">
        <f t="shared" si="27"/>
        <v>0</v>
      </c>
      <c r="BM36" s="109">
        <f t="shared" si="11"/>
        <v>0.19100528512871082</v>
      </c>
      <c r="BN36" s="8">
        <f t="shared" si="28"/>
        <v>0</v>
      </c>
      <c r="BO36" s="110">
        <f t="shared" si="29"/>
        <v>1</v>
      </c>
      <c r="BP36" s="110">
        <f t="shared" si="30"/>
        <v>0</v>
      </c>
      <c r="BQ36" s="110">
        <f t="shared" si="31"/>
        <v>0</v>
      </c>
      <c r="BR36" s="8">
        <f t="shared" si="32"/>
        <v>0</v>
      </c>
      <c r="BS36" s="109">
        <f t="shared" si="33"/>
        <v>0.57364768597096893</v>
      </c>
    </row>
    <row r="37" spans="1:71" s="8" customFormat="1" ht="13" x14ac:dyDescent="0.3">
      <c r="A37" s="105" t="s">
        <v>104</v>
      </c>
      <c r="B37" s="76">
        <v>0</v>
      </c>
      <c r="C37" s="76">
        <v>14605.5</v>
      </c>
      <c r="D37" s="76">
        <v>0</v>
      </c>
      <c r="E37" s="82">
        <f>IF(AND(B37=0,D37=0),0,B37/(IF(C37&gt;0,C37,0)+D37))</f>
        <v>0</v>
      </c>
      <c r="F37" s="102"/>
      <c r="G37" s="90">
        <f>IF(E37&lt;=1.05,1,0)</f>
        <v>1</v>
      </c>
      <c r="H37" s="91">
        <f>F37+G37</f>
        <v>1</v>
      </c>
      <c r="I37" s="76">
        <v>0</v>
      </c>
      <c r="J37" s="76">
        <v>745531.7</v>
      </c>
      <c r="K37" s="76">
        <v>580039</v>
      </c>
      <c r="L37" s="76">
        <v>122102.2</v>
      </c>
      <c r="M37" s="76">
        <v>0</v>
      </c>
      <c r="N37" s="82">
        <f>(I37)/(J37-K37-L37)</f>
        <v>0</v>
      </c>
      <c r="O37" s="102"/>
      <c r="P37" s="90">
        <f>IF(N37&lt;=0.5,1,0)</f>
        <v>1</v>
      </c>
      <c r="Q37" s="91">
        <f>O37+P37</f>
        <v>1</v>
      </c>
      <c r="R37" s="103">
        <v>0</v>
      </c>
      <c r="S37" s="76">
        <v>760137.1</v>
      </c>
      <c r="T37" s="84">
        <v>192754.136</v>
      </c>
      <c r="U37" s="82">
        <f>R37/(S37-T37)</f>
        <v>0</v>
      </c>
      <c r="V37" s="102"/>
      <c r="W37" s="90">
        <f>IF(U37&lt;=0.15,1,0)</f>
        <v>1</v>
      </c>
      <c r="X37" s="91">
        <f>V37+W37</f>
        <v>1</v>
      </c>
      <c r="Y37" s="76">
        <v>1537.6</v>
      </c>
      <c r="Z37" s="86"/>
      <c r="AA37" s="86">
        <v>1537.6</v>
      </c>
      <c r="AB37" s="86"/>
      <c r="AC37" s="86">
        <v>731070.2</v>
      </c>
      <c r="AD37" s="86">
        <v>568195.6</v>
      </c>
      <c r="AE37" s="86">
        <v>122187.4</v>
      </c>
      <c r="AF37" s="86">
        <f>AC37-AD37-AE37</f>
        <v>40687.199999999983</v>
      </c>
      <c r="AG37" s="86">
        <f>AF37*5%</f>
        <v>2034.3599999999992</v>
      </c>
      <c r="AH37" s="86">
        <f>IF(AA37&gt;0,AA37,0)+AG37+IF(AB37&gt;0,AB37,0)</f>
        <v>3571.9599999999991</v>
      </c>
      <c r="AI37" s="104">
        <f>IF((Y37-IF(Z37&gt;0,Z37,0)-IF(AA37&gt;0,AA37,0)-IF(AB37&gt;0,AB37,0))/(AC37-AD37-AE37)&gt;0,(Y37-IF(Z37&gt;0,Z37,0)-IF(AA37&gt;0,AA37,0)-IF(AB37&gt;0,AB37,0))/(AC37-AD37-AE37),0)</f>
        <v>0</v>
      </c>
      <c r="AJ37" s="89"/>
      <c r="AK37" s="106">
        <f>IF(AI37&lt;=0.05,1.5,0)</f>
        <v>1.5</v>
      </c>
      <c r="AL37" s="91">
        <f>AJ37+AK37</f>
        <v>1.5</v>
      </c>
      <c r="AM37" s="92"/>
      <c r="AN37" s="90"/>
      <c r="AO37" s="104">
        <v>0.95199999999999996</v>
      </c>
      <c r="AP37" s="89"/>
      <c r="AQ37" s="106">
        <f>IF(AO37&lt;=1.05,1,0)</f>
        <v>1</v>
      </c>
      <c r="AR37" s="107">
        <f>AP37+AQ37</f>
        <v>1</v>
      </c>
      <c r="AS37" s="92"/>
      <c r="AT37" s="90"/>
      <c r="AU37" s="104">
        <v>0.95599999999999996</v>
      </c>
      <c r="AV37" s="89"/>
      <c r="AW37" s="106">
        <f>IF(AU37&lt;=1.05,1,0)</f>
        <v>1</v>
      </c>
      <c r="AX37" s="107">
        <f>AV37+AW37</f>
        <v>1</v>
      </c>
      <c r="AY37" s="95"/>
      <c r="AZ37" s="96"/>
      <c r="BA37" s="89">
        <f>AZ37</f>
        <v>0</v>
      </c>
      <c r="BB37" s="125">
        <f t="shared" si="22"/>
        <v>6.5</v>
      </c>
      <c r="BC37" s="126">
        <v>525665.42000000004</v>
      </c>
      <c r="BD37" s="108">
        <v>49196.446000000004</v>
      </c>
      <c r="BF37" s="109">
        <f t="shared" si="10"/>
        <v>0.92441763729346926</v>
      </c>
      <c r="BG37" s="8">
        <f t="shared" si="23"/>
        <v>0</v>
      </c>
      <c r="BH37" s="110">
        <f t="shared" si="24"/>
        <v>0</v>
      </c>
      <c r="BI37" s="110">
        <f t="shared" si="25"/>
        <v>0</v>
      </c>
      <c r="BJ37" s="110">
        <f t="shared" si="26"/>
        <v>0</v>
      </c>
      <c r="BK37" s="8">
        <f t="shared" si="27"/>
        <v>1</v>
      </c>
      <c r="BM37" s="109">
        <f t="shared" si="11"/>
        <v>0.30988711763272653</v>
      </c>
      <c r="BN37" s="8">
        <f t="shared" si="28"/>
        <v>0</v>
      </c>
      <c r="BO37" s="110">
        <f t="shared" si="29"/>
        <v>0</v>
      </c>
      <c r="BP37" s="110">
        <f t="shared" si="30"/>
        <v>1</v>
      </c>
      <c r="BQ37" s="110">
        <f t="shared" si="31"/>
        <v>0</v>
      </c>
      <c r="BR37" s="8">
        <f t="shared" si="32"/>
        <v>0</v>
      </c>
      <c r="BS37" s="109">
        <f t="shared" si="33"/>
        <v>0.70508795266519197</v>
      </c>
    </row>
    <row r="38" spans="1:71" s="8" customFormat="1" ht="13" x14ac:dyDescent="0.3">
      <c r="A38" s="105" t="s">
        <v>105</v>
      </c>
      <c r="B38" s="76">
        <v>0</v>
      </c>
      <c r="C38" s="76">
        <v>213196.1</v>
      </c>
      <c r="D38" s="76">
        <v>0</v>
      </c>
      <c r="E38" s="82">
        <f>IF(AND(B38=0,D38=0),0,B38/(IF(C38&gt;0,C38,0)+D38))</f>
        <v>0</v>
      </c>
      <c r="F38" s="102">
        <f t="shared" si="42"/>
        <v>1</v>
      </c>
      <c r="G38" s="90"/>
      <c r="H38" s="91">
        <f>F38+G38</f>
        <v>1</v>
      </c>
      <c r="I38" s="76">
        <v>0</v>
      </c>
      <c r="J38" s="76">
        <v>872086</v>
      </c>
      <c r="K38" s="76">
        <v>693550.7</v>
      </c>
      <c r="L38" s="76">
        <v>103603.1</v>
      </c>
      <c r="M38" s="76">
        <v>0</v>
      </c>
      <c r="N38" s="82">
        <f>(I38)/(J38-K38-L38)</f>
        <v>0</v>
      </c>
      <c r="O38" s="102">
        <f t="shared" si="43"/>
        <v>1</v>
      </c>
      <c r="P38" s="90"/>
      <c r="Q38" s="91">
        <f>O38+P38</f>
        <v>1</v>
      </c>
      <c r="R38" s="103">
        <v>0</v>
      </c>
      <c r="S38" s="76">
        <v>1102737.3</v>
      </c>
      <c r="T38" s="84">
        <v>391719.40600000002</v>
      </c>
      <c r="U38" s="82">
        <f>R38/(S38-T38)</f>
        <v>0</v>
      </c>
      <c r="V38" s="102">
        <f t="shared" si="44"/>
        <v>1</v>
      </c>
      <c r="W38" s="90"/>
      <c r="X38" s="91">
        <f>V38+W38</f>
        <v>1</v>
      </c>
      <c r="Y38" s="76">
        <v>-156869.1</v>
      </c>
      <c r="Z38" s="86"/>
      <c r="AA38" s="86">
        <v>-156869.1</v>
      </c>
      <c r="AB38" s="86"/>
      <c r="AC38" s="86">
        <v>810519.4</v>
      </c>
      <c r="AD38" s="86">
        <v>625395</v>
      </c>
      <c r="AE38" s="86">
        <v>109075.87</v>
      </c>
      <c r="AF38" s="86">
        <f>AC38-AD38-AE38</f>
        <v>76048.530000000028</v>
      </c>
      <c r="AG38" s="86">
        <f>AF38*10%</f>
        <v>7604.8530000000028</v>
      </c>
      <c r="AH38" s="86">
        <f>IF(AA38&gt;0,AA38,0)+AG38+IF(AB38&gt;0,AB38,0)</f>
        <v>7604.8530000000028</v>
      </c>
      <c r="AI38" s="104">
        <f>IF((Y38-IF(Z38&gt;0,Z38,0)-IF(AA38&gt;0,AA38,0)-IF(AB38&gt;0,AB38,0))/(AC38-AD38-AE38)&gt;0,(Y38-IF(Z38&gt;0,Z38,0)-IF(AA38&gt;0,AA38,0)-IF(AB38&gt;0,AB38,0))/(AC38-AD38-AE38),0)</f>
        <v>0</v>
      </c>
      <c r="AJ38" s="89">
        <f t="shared" si="45"/>
        <v>1.5</v>
      </c>
      <c r="AK38" s="90"/>
      <c r="AL38" s="91">
        <f>AJ38+AK38</f>
        <v>1.5</v>
      </c>
      <c r="AM38" s="92"/>
      <c r="AN38" s="90"/>
      <c r="AO38" s="104">
        <v>0.66900000000000004</v>
      </c>
      <c r="AP38" s="89">
        <f t="shared" ref="AP38:AP40" si="50">IF(AO38&lt;=1.05,1,0)</f>
        <v>1</v>
      </c>
      <c r="AQ38" s="90"/>
      <c r="AR38" s="107">
        <f>AP38+AQ38</f>
        <v>1</v>
      </c>
      <c r="AS38" s="92"/>
      <c r="AT38" s="90"/>
      <c r="AU38" s="104">
        <v>0.84599999999999997</v>
      </c>
      <c r="AV38" s="89">
        <f t="shared" ref="AV38:AV40" si="51">IF(AU38&lt;=1.05,1,0)</f>
        <v>1</v>
      </c>
      <c r="AW38" s="90"/>
      <c r="AX38" s="107">
        <f>AV38+AW38</f>
        <v>1</v>
      </c>
      <c r="AY38" s="95"/>
      <c r="AZ38" s="96"/>
      <c r="BA38" s="89">
        <f>AZ38</f>
        <v>0</v>
      </c>
      <c r="BB38" s="125">
        <f t="shared" si="22"/>
        <v>6.5</v>
      </c>
      <c r="BC38" s="126">
        <v>602823.41</v>
      </c>
      <c r="BD38" s="108">
        <v>44642.803</v>
      </c>
      <c r="BF38" s="109">
        <f t="shared" si="10"/>
        <v>0.81841324954746775</v>
      </c>
      <c r="BG38" s="8">
        <f t="shared" si="23"/>
        <v>0</v>
      </c>
      <c r="BH38" s="110">
        <f t="shared" si="24"/>
        <v>0</v>
      </c>
      <c r="BI38" s="110">
        <f t="shared" si="25"/>
        <v>0</v>
      </c>
      <c r="BJ38" s="110">
        <f t="shared" si="26"/>
        <v>1</v>
      </c>
      <c r="BK38" s="8">
        <f t="shared" si="27"/>
        <v>0</v>
      </c>
      <c r="BM38" s="109">
        <f t="shared" si="11"/>
        <v>0.30860993427032524</v>
      </c>
      <c r="BN38" s="8">
        <f t="shared" si="28"/>
        <v>0</v>
      </c>
      <c r="BO38" s="110">
        <f t="shared" si="29"/>
        <v>0</v>
      </c>
      <c r="BP38" s="110">
        <f t="shared" si="30"/>
        <v>1</v>
      </c>
      <c r="BQ38" s="110">
        <f t="shared" si="31"/>
        <v>0</v>
      </c>
      <c r="BR38" s="8">
        <f t="shared" si="32"/>
        <v>0</v>
      </c>
      <c r="BS38" s="109">
        <f t="shared" si="33"/>
        <v>0.69124307694424636</v>
      </c>
    </row>
    <row r="39" spans="1:71" s="8" customFormat="1" ht="13" x14ac:dyDescent="0.3">
      <c r="A39" s="105" t="s">
        <v>106</v>
      </c>
      <c r="B39" s="76">
        <v>0</v>
      </c>
      <c r="C39" s="76">
        <v>67214.8</v>
      </c>
      <c r="D39" s="76">
        <v>1166.7</v>
      </c>
      <c r="E39" s="82">
        <f>IF(AND(B39=0,D39=0),0,B39/(IF(C39&gt;0,C39,0)+D39))</f>
        <v>0</v>
      </c>
      <c r="F39" s="102">
        <f t="shared" si="42"/>
        <v>1</v>
      </c>
      <c r="G39" s="90"/>
      <c r="H39" s="91">
        <f>F39+G39</f>
        <v>1</v>
      </c>
      <c r="I39" s="76">
        <v>2333.3000000000002</v>
      </c>
      <c r="J39" s="76">
        <v>1269605.7</v>
      </c>
      <c r="K39" s="76">
        <v>992458.1</v>
      </c>
      <c r="L39" s="76">
        <v>190151.9</v>
      </c>
      <c r="M39" s="76">
        <v>0</v>
      </c>
      <c r="N39" s="82">
        <f>(I39)/(J39-K39-L39)</f>
        <v>2.6820865858887287E-2</v>
      </c>
      <c r="O39" s="102">
        <f t="shared" si="43"/>
        <v>1</v>
      </c>
      <c r="P39" s="90"/>
      <c r="Q39" s="91">
        <f>O39+P39</f>
        <v>1</v>
      </c>
      <c r="R39" s="103">
        <v>3.0013700000000001</v>
      </c>
      <c r="S39" s="76">
        <v>1336820.5</v>
      </c>
      <c r="T39" s="84">
        <v>369238.82299999997</v>
      </c>
      <c r="U39" s="82">
        <f>R39/(S39-T39)</f>
        <v>3.1019293475107839E-6</v>
      </c>
      <c r="V39" s="102">
        <f t="shared" si="44"/>
        <v>1</v>
      </c>
      <c r="W39" s="90"/>
      <c r="X39" s="91">
        <f>V39+W39</f>
        <v>1</v>
      </c>
      <c r="Y39" s="76">
        <v>12632</v>
      </c>
      <c r="Z39" s="86"/>
      <c r="AA39" s="86">
        <v>11465.3</v>
      </c>
      <c r="AB39" s="86"/>
      <c r="AC39" s="86">
        <v>1157485.8</v>
      </c>
      <c r="AD39" s="86">
        <v>874698.8</v>
      </c>
      <c r="AE39" s="86">
        <v>194609.29</v>
      </c>
      <c r="AF39" s="86">
        <f>AC39-AD39-AE39</f>
        <v>88177.709999999992</v>
      </c>
      <c r="AG39" s="86">
        <f>AF39*10%</f>
        <v>8817.7709999999988</v>
      </c>
      <c r="AH39" s="86">
        <f>IF(AA39&gt;0,AA39,0)+AG39+IF(AB39&gt;0,AB39,0)</f>
        <v>20283.070999999996</v>
      </c>
      <c r="AI39" s="104">
        <f>IF((Y39-IF(Z39&gt;0,Z39,0)-IF(AA39&gt;0,AA39,0)-IF(AB39&gt;0,AB39,0))/(AC39-AD39-AE39)&gt;0,(Y39-IF(Z39&gt;0,Z39,0)-IF(AA39&gt;0,AA39,0)-IF(AB39&gt;0,AB39,0))/(AC39-AD39-AE39),0)</f>
        <v>1.3231234968565195E-2</v>
      </c>
      <c r="AJ39" s="89">
        <f t="shared" si="45"/>
        <v>1.5</v>
      </c>
      <c r="AK39" s="90"/>
      <c r="AL39" s="91">
        <f>AJ39+AK39</f>
        <v>1.5</v>
      </c>
      <c r="AM39" s="92"/>
      <c r="AN39" s="90"/>
      <c r="AO39" s="104">
        <v>0.94</v>
      </c>
      <c r="AP39" s="89">
        <f t="shared" si="50"/>
        <v>1</v>
      </c>
      <c r="AQ39" s="90"/>
      <c r="AR39" s="107">
        <f>AP39+AQ39</f>
        <v>1</v>
      </c>
      <c r="AS39" s="92"/>
      <c r="AT39" s="90"/>
      <c r="AU39" s="104">
        <v>0.93300000000000005</v>
      </c>
      <c r="AV39" s="89">
        <f t="shared" si="51"/>
        <v>1</v>
      </c>
      <c r="AW39" s="90"/>
      <c r="AX39" s="107">
        <f>AV39+AW39</f>
        <v>1</v>
      </c>
      <c r="AY39" s="95"/>
      <c r="AZ39" s="96"/>
      <c r="BA39" s="89">
        <f>AZ39</f>
        <v>0</v>
      </c>
      <c r="BB39" s="125">
        <f t="shared" si="22"/>
        <v>6.5</v>
      </c>
      <c r="BC39" s="126">
        <v>907546.37</v>
      </c>
      <c r="BD39" s="108">
        <v>76667.680959999998</v>
      </c>
      <c r="BF39" s="109">
        <f t="shared" si="10"/>
        <v>0.88813441399344561</v>
      </c>
      <c r="BG39" s="8">
        <f t="shared" si="23"/>
        <v>0</v>
      </c>
      <c r="BH39" s="110">
        <f t="shared" si="24"/>
        <v>0</v>
      </c>
      <c r="BI39" s="110">
        <f t="shared" si="25"/>
        <v>0</v>
      </c>
      <c r="BJ39" s="110">
        <f t="shared" si="26"/>
        <v>1</v>
      </c>
      <c r="BK39" s="8">
        <f t="shared" si="27"/>
        <v>0</v>
      </c>
      <c r="BM39" s="109">
        <f t="shared" si="11"/>
        <v>0.29634539849914981</v>
      </c>
      <c r="BN39" s="8">
        <f t="shared" si="28"/>
        <v>0</v>
      </c>
      <c r="BO39" s="110">
        <f t="shared" si="29"/>
        <v>0</v>
      </c>
      <c r="BP39" s="110">
        <f t="shared" si="30"/>
        <v>1</v>
      </c>
      <c r="BQ39" s="110">
        <f t="shared" si="31"/>
        <v>0</v>
      </c>
      <c r="BR39" s="8">
        <f t="shared" si="32"/>
        <v>0</v>
      </c>
      <c r="BS39" s="109">
        <f t="shared" si="33"/>
        <v>0.7148253745237596</v>
      </c>
    </row>
    <row r="40" spans="1:71" s="8" customFormat="1" ht="13.5" thickBot="1" x14ac:dyDescent="0.35">
      <c r="A40" s="105" t="s">
        <v>107</v>
      </c>
      <c r="B40" s="76">
        <v>0</v>
      </c>
      <c r="C40" s="76">
        <v>51246.7</v>
      </c>
      <c r="D40" s="76">
        <v>0</v>
      </c>
      <c r="E40" s="82">
        <f>IF(AND(B40=0,D40=0),0,B40/(IF(C40&gt;0,C40,0)+D40))</f>
        <v>0</v>
      </c>
      <c r="F40" s="102">
        <f t="shared" si="42"/>
        <v>1</v>
      </c>
      <c r="G40" s="90"/>
      <c r="H40" s="91">
        <f>F40+G40</f>
        <v>1</v>
      </c>
      <c r="I40" s="76">
        <v>0</v>
      </c>
      <c r="J40" s="76">
        <v>1356141.4</v>
      </c>
      <c r="K40" s="76">
        <v>1003598.9</v>
      </c>
      <c r="L40" s="76">
        <v>236627.1</v>
      </c>
      <c r="M40" s="76">
        <v>0</v>
      </c>
      <c r="N40" s="82">
        <f>(I40)/(J40-K40-L40)</f>
        <v>0</v>
      </c>
      <c r="O40" s="102">
        <f t="shared" si="43"/>
        <v>1</v>
      </c>
      <c r="P40" s="90"/>
      <c r="Q40" s="91">
        <f>O40+P40</f>
        <v>1</v>
      </c>
      <c r="R40" s="103">
        <v>0</v>
      </c>
      <c r="S40" s="76">
        <v>1407388.1</v>
      </c>
      <c r="T40" s="84">
        <v>545831.15599999996</v>
      </c>
      <c r="U40" s="82">
        <f>R40/(S40-T40)</f>
        <v>0</v>
      </c>
      <c r="V40" s="102">
        <f t="shared" si="44"/>
        <v>1</v>
      </c>
      <c r="W40" s="90"/>
      <c r="X40" s="91">
        <f>V40+W40</f>
        <v>1</v>
      </c>
      <c r="Y40" s="76">
        <v>11257.9</v>
      </c>
      <c r="Z40" s="86"/>
      <c r="AA40" s="86">
        <v>11257.9</v>
      </c>
      <c r="AB40" s="86"/>
      <c r="AC40" s="86">
        <v>1291768</v>
      </c>
      <c r="AD40" s="86">
        <v>925085.9</v>
      </c>
      <c r="AE40" s="86">
        <v>247786.62</v>
      </c>
      <c r="AF40" s="86">
        <f>AC40-AD40-AE40</f>
        <v>118895.47999999998</v>
      </c>
      <c r="AG40" s="86">
        <f>AF40*10%</f>
        <v>11889.547999999999</v>
      </c>
      <c r="AH40" s="86">
        <f>IF(AA40&gt;0,AA40,0)+AG40+IF(AB40&gt;0,AB40,0)</f>
        <v>23147.447999999997</v>
      </c>
      <c r="AI40" s="104">
        <f>IF((Y40-IF(Z40&gt;0,Z40,0)-IF(AA40&gt;0,AA40,0)-IF(AB40&gt;0,AB40,0))/(AC40-AD40-AE40)&gt;0,(Y40-IF(Z40&gt;0,Z40,0)-IF(AA40&gt;0,AA40,0)-IF(AB40&gt;0,AB40,0))/(AC40-AD40-AE40),0)</f>
        <v>0</v>
      </c>
      <c r="AJ40" s="89">
        <f t="shared" si="45"/>
        <v>1.5</v>
      </c>
      <c r="AK40" s="90"/>
      <c r="AL40" s="91">
        <f>AJ40+AK40</f>
        <v>1.5</v>
      </c>
      <c r="AM40" s="92"/>
      <c r="AN40" s="90"/>
      <c r="AO40" s="104">
        <v>0.91600000000000004</v>
      </c>
      <c r="AP40" s="89">
        <f t="shared" si="50"/>
        <v>1</v>
      </c>
      <c r="AQ40" s="90"/>
      <c r="AR40" s="107">
        <f>AP40+AQ40</f>
        <v>1</v>
      </c>
      <c r="AS40" s="92"/>
      <c r="AT40" s="90"/>
      <c r="AU40" s="104">
        <v>0.95599999999999996</v>
      </c>
      <c r="AV40" s="89">
        <f t="shared" si="51"/>
        <v>1</v>
      </c>
      <c r="AW40" s="90"/>
      <c r="AX40" s="107">
        <f>AV40+AW40</f>
        <v>1</v>
      </c>
      <c r="AY40" s="95"/>
      <c r="AZ40" s="96"/>
      <c r="BA40" s="89">
        <f>AZ40</f>
        <v>0</v>
      </c>
      <c r="BB40" s="125">
        <f t="shared" si="22"/>
        <v>6.5</v>
      </c>
      <c r="BC40" s="126">
        <v>935988.22</v>
      </c>
      <c r="BD40" s="108">
        <v>34090.917000000001</v>
      </c>
      <c r="BF40" s="109">
        <f t="shared" si="10"/>
        <v>0.84060918701583809</v>
      </c>
      <c r="BG40" s="8">
        <f t="shared" si="23"/>
        <v>0</v>
      </c>
      <c r="BH40" s="110">
        <f t="shared" si="24"/>
        <v>0</v>
      </c>
      <c r="BI40" s="110">
        <f t="shared" si="25"/>
        <v>0</v>
      </c>
      <c r="BJ40" s="110">
        <f t="shared" si="26"/>
        <v>1</v>
      </c>
      <c r="BK40" s="8">
        <f t="shared" si="27"/>
        <v>0</v>
      </c>
      <c r="BM40" s="109">
        <f t="shared" si="11"/>
        <v>0.33409181113598263</v>
      </c>
      <c r="BN40" s="8">
        <f t="shared" si="28"/>
        <v>0</v>
      </c>
      <c r="BO40" s="110">
        <f t="shared" si="29"/>
        <v>0</v>
      </c>
      <c r="BP40" s="110">
        <f t="shared" si="30"/>
        <v>1</v>
      </c>
      <c r="BQ40" s="110">
        <f t="shared" si="31"/>
        <v>0</v>
      </c>
      <c r="BR40" s="8">
        <f t="shared" si="32"/>
        <v>0</v>
      </c>
      <c r="BS40" s="109">
        <f t="shared" si="33"/>
        <v>0.69018482880914933</v>
      </c>
    </row>
    <row r="41" spans="1:71" ht="14" thickTop="1" thickBot="1" x14ac:dyDescent="0.35">
      <c r="A41" s="111" t="s">
        <v>108</v>
      </c>
      <c r="B41" s="112">
        <f>SUM(B10:B40)</f>
        <v>2584139.9</v>
      </c>
      <c r="C41" s="112">
        <f>SUM(C10:C40)</f>
        <v>2002915.4999999995</v>
      </c>
      <c r="D41" s="112">
        <f>SUM(D10:D40)</f>
        <v>2662297.5</v>
      </c>
      <c r="E41" s="113"/>
      <c r="F41" s="113"/>
      <c r="G41" s="113"/>
      <c r="H41" s="114"/>
      <c r="I41" s="115">
        <f>SUM(I10:I40)</f>
        <v>2938455.0999999996</v>
      </c>
      <c r="J41" s="115">
        <f>SUM(J10:J40)</f>
        <v>52456095.500000015</v>
      </c>
      <c r="K41" s="115">
        <f>SUM(K10:K40)</f>
        <v>38857935</v>
      </c>
      <c r="L41" s="115">
        <f>SUM(L10:L40)</f>
        <v>5321135.5999999996</v>
      </c>
      <c r="M41" s="113">
        <f>SUM(M10:M40)</f>
        <v>0</v>
      </c>
      <c r="N41" s="113"/>
      <c r="O41" s="113"/>
      <c r="P41" s="113"/>
      <c r="Q41" s="114"/>
      <c r="R41" s="116">
        <f>SUM(R10:R40)</f>
        <v>297767.28767999995</v>
      </c>
      <c r="S41" s="117">
        <f>SUM(S10:S40)</f>
        <v>54912036.700000018</v>
      </c>
      <c r="T41" s="117">
        <f>SUM(T10:T40)</f>
        <v>17990540.188999999</v>
      </c>
      <c r="U41" s="113"/>
      <c r="V41" s="113"/>
      <c r="W41" s="113"/>
      <c r="X41" s="114"/>
      <c r="Y41" s="118">
        <f t="shared" ref="Y41:AE41" si="52">SUM(Y10:Y40)</f>
        <v>-304736.79999999993</v>
      </c>
      <c r="Z41" s="116">
        <f t="shared" si="52"/>
        <v>0</v>
      </c>
      <c r="AA41" s="116">
        <f t="shared" si="52"/>
        <v>-378014.8</v>
      </c>
      <c r="AB41" s="116">
        <f t="shared" si="52"/>
        <v>0</v>
      </c>
      <c r="AC41" s="116">
        <f t="shared" si="52"/>
        <v>50473620.900000006</v>
      </c>
      <c r="AD41" s="116">
        <f t="shared" si="52"/>
        <v>36133012.299999997</v>
      </c>
      <c r="AE41" s="116">
        <f t="shared" si="52"/>
        <v>5587178.8000000007</v>
      </c>
      <c r="AF41" s="119"/>
      <c r="AG41" s="119"/>
      <c r="AH41" s="119"/>
      <c r="AI41" s="113"/>
      <c r="AJ41" s="113"/>
      <c r="AK41" s="113"/>
      <c r="AL41" s="113"/>
      <c r="AM41" s="116">
        <f>SUM(AM10:AM40)</f>
        <v>0</v>
      </c>
      <c r="AN41" s="120">
        <f>SUM(AN10:AN40)</f>
        <v>0</v>
      </c>
      <c r="AO41" s="113"/>
      <c r="AP41" s="113"/>
      <c r="AQ41" s="113"/>
      <c r="AR41" s="113"/>
      <c r="AS41" s="120">
        <f>SUM(AS10:AS40)</f>
        <v>0</v>
      </c>
      <c r="AT41" s="120">
        <f>SUM(AT10:AT40)</f>
        <v>0</v>
      </c>
      <c r="AU41" s="113"/>
      <c r="AV41" s="113"/>
      <c r="AW41" s="113"/>
      <c r="AX41" s="113"/>
      <c r="AY41" s="120"/>
      <c r="AZ41" s="113"/>
      <c r="BA41" s="114"/>
      <c r="BB41" s="121"/>
      <c r="BC41" s="7"/>
      <c r="BD41" s="1"/>
      <c r="BF41" s="122"/>
      <c r="BG41" s="123">
        <f>SUM(BG10:BG40)</f>
        <v>0</v>
      </c>
      <c r="BH41" s="123">
        <f>SUM(BH10:BH40)</f>
        <v>0</v>
      </c>
      <c r="BI41" s="123">
        <f>SUM(BI10:BI40)</f>
        <v>5</v>
      </c>
      <c r="BJ41" s="123">
        <f>SUM(BJ10:BJ40)</f>
        <v>22</v>
      </c>
      <c r="BK41" s="123">
        <f>SUM(BK10:BK40)</f>
        <v>4</v>
      </c>
      <c r="BM41" s="122"/>
      <c r="BN41" s="123">
        <f>SUM(BN10:BN40)</f>
        <v>0</v>
      </c>
      <c r="BO41" s="123">
        <f>SUM(BO10:BO40)</f>
        <v>4</v>
      </c>
      <c r="BP41" s="123">
        <f>SUM(BP10:BP40)</f>
        <v>24</v>
      </c>
      <c r="BQ41" s="123">
        <f>SUM(BQ10:BQ40)</f>
        <v>3</v>
      </c>
      <c r="BR41" s="123">
        <f>SUM(BR10:BR40)</f>
        <v>0</v>
      </c>
    </row>
    <row r="42" spans="1:71" ht="13" thickTop="1" x14ac:dyDescent="0.25"/>
  </sheetData>
  <mergeCells count="13">
    <mergeCell ref="AM4:AR4"/>
    <mergeCell ref="AS4:AX4"/>
    <mergeCell ref="B5:D5"/>
    <mergeCell ref="R5:T5"/>
    <mergeCell ref="Y5:AA5"/>
    <mergeCell ref="AM5:AN5"/>
    <mergeCell ref="AS5:AT5"/>
    <mergeCell ref="B1:H3"/>
    <mergeCell ref="A4:A7"/>
    <mergeCell ref="B4:H4"/>
    <mergeCell ref="I4:Q4"/>
    <mergeCell ref="R4:X4"/>
    <mergeCell ref="Y4:AL4"/>
  </mergeCells>
  <pageMargins left="0.19685039370078741" right="0.19685039370078741" top="0.35433070866141736" bottom="0.27559055118110237" header="0.31496062992125984" footer="0.31496062992125984"/>
  <pageSetup paperSize="9" scale="7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за 4 кв. (план)</vt:lpstr>
      <vt:lpstr>за 4 кв. (факт) (по кодексу)</vt:lpstr>
      <vt:lpstr>'за 4 кв. (план)'!Заголовки_для_печати</vt:lpstr>
      <vt:lpstr>'за 4 кв. (факт) (по кодексу)'!Заголовки_для_печати</vt:lpstr>
      <vt:lpstr>'за 4 кв. (план)'!Область_печати</vt:lpstr>
      <vt:lpstr>'за 4 кв. (факт) (по кодексу)'!Область_печати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dcterms:created xsi:type="dcterms:W3CDTF">2026-02-02T12:03:03Z</dcterms:created>
  <dcterms:modified xsi:type="dcterms:W3CDTF">2026-02-02T13:02:26Z</dcterms:modified>
</cp:coreProperties>
</file>