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50" windowWidth="24900" windowHeight="9840"/>
  </bookViews>
  <sheets>
    <sheet name="за 3 кв." sheetId="1" r:id="rId1"/>
  </sheets>
  <definedNames>
    <definedName name="_xlnm.Print_Titles" localSheetId="0">'за 3 кв.'!$A:$A</definedName>
    <definedName name="_xlnm.Print_Area" localSheetId="0">'за 3 кв.'!$A$1:$AY$40</definedName>
  </definedNames>
  <calcPr calcId="145621" fullCalcOnLoad="1"/>
</workbook>
</file>

<file path=xl/calcChain.xml><?xml version="1.0" encoding="utf-8"?>
<calcChain xmlns="http://schemas.openxmlformats.org/spreadsheetml/2006/main">
  <c r="AB41" i="1" l="1"/>
  <c r="AA41" i="1"/>
  <c r="Z41" i="1"/>
  <c r="T41" i="1"/>
  <c r="S41" i="1"/>
  <c r="R41" i="1"/>
  <c r="M41" i="1"/>
  <c r="L41" i="1"/>
  <c r="K41" i="1"/>
  <c r="J41" i="1"/>
  <c r="I41" i="1"/>
  <c r="D41" i="1"/>
  <c r="C41" i="1"/>
  <c r="B41" i="1"/>
  <c r="BA40" i="1"/>
  <c r="AE40" i="1"/>
  <c r="AD40" i="1"/>
  <c r="AF40" i="1" s="1"/>
  <c r="AG40" i="1" s="1"/>
  <c r="AH40" i="1" s="1"/>
  <c r="AC40" i="1"/>
  <c r="Y40" i="1"/>
  <c r="AI40" i="1" s="1"/>
  <c r="AJ40" i="1" s="1"/>
  <c r="AL40" i="1" s="1"/>
  <c r="U40" i="1"/>
  <c r="V40" i="1" s="1"/>
  <c r="X40" i="1" s="1"/>
  <c r="N40" i="1"/>
  <c r="O40" i="1" s="1"/>
  <c r="Q40" i="1" s="1"/>
  <c r="E40" i="1"/>
  <c r="F40" i="1" s="1"/>
  <c r="H40" i="1" s="1"/>
  <c r="BA39" i="1"/>
  <c r="AE39" i="1"/>
  <c r="AD39" i="1"/>
  <c r="AC39" i="1"/>
  <c r="Y39" i="1"/>
  <c r="V39" i="1"/>
  <c r="X39" i="1" s="1"/>
  <c r="U39" i="1"/>
  <c r="N39" i="1"/>
  <c r="O39" i="1" s="1"/>
  <c r="Q39" i="1" s="1"/>
  <c r="E39" i="1"/>
  <c r="F39" i="1" s="1"/>
  <c r="H39" i="1" s="1"/>
  <c r="BA38" i="1"/>
  <c r="AE38" i="1"/>
  <c r="AD38" i="1"/>
  <c r="AC38" i="1"/>
  <c r="AI38" i="1" s="1"/>
  <c r="AJ38" i="1" s="1"/>
  <c r="AL38" i="1" s="1"/>
  <c r="Y38" i="1"/>
  <c r="U38" i="1"/>
  <c r="V38" i="1" s="1"/>
  <c r="X38" i="1" s="1"/>
  <c r="N38" i="1"/>
  <c r="O38" i="1" s="1"/>
  <c r="Q38" i="1" s="1"/>
  <c r="E38" i="1"/>
  <c r="F38" i="1" s="1"/>
  <c r="H38" i="1" s="1"/>
  <c r="BA37" i="1"/>
  <c r="AE37" i="1"/>
  <c r="AD37" i="1"/>
  <c r="AF37" i="1" s="1"/>
  <c r="AG37" i="1" s="1"/>
  <c r="AH37" i="1" s="1"/>
  <c r="AC37" i="1"/>
  <c r="Y37" i="1"/>
  <c r="AI37" i="1" s="1"/>
  <c r="AJ37" i="1" s="1"/>
  <c r="AL37" i="1" s="1"/>
  <c r="U37" i="1"/>
  <c r="V37" i="1" s="1"/>
  <c r="X37" i="1" s="1"/>
  <c r="N37" i="1"/>
  <c r="O37" i="1" s="1"/>
  <c r="Q37" i="1" s="1"/>
  <c r="F37" i="1"/>
  <c r="H37" i="1" s="1"/>
  <c r="E37" i="1"/>
  <c r="BA36" i="1"/>
  <c r="AE36" i="1"/>
  <c r="AD36" i="1"/>
  <c r="AC36" i="1"/>
  <c r="Y36" i="1"/>
  <c r="U36" i="1"/>
  <c r="V36" i="1" s="1"/>
  <c r="X36" i="1" s="1"/>
  <c r="O36" i="1"/>
  <c r="Q36" i="1" s="1"/>
  <c r="N36" i="1"/>
  <c r="E36" i="1"/>
  <c r="F36" i="1" s="1"/>
  <c r="H36" i="1" s="1"/>
  <c r="BA35" i="1"/>
  <c r="AE35" i="1"/>
  <c r="AD35" i="1"/>
  <c r="AC35" i="1"/>
  <c r="Y35" i="1"/>
  <c r="V35" i="1"/>
  <c r="X35" i="1" s="1"/>
  <c r="U35" i="1"/>
  <c r="N35" i="1"/>
  <c r="O35" i="1" s="1"/>
  <c r="Q35" i="1" s="1"/>
  <c r="E35" i="1"/>
  <c r="F35" i="1" s="1"/>
  <c r="H35" i="1" s="1"/>
  <c r="BA34" i="1"/>
  <c r="AE34" i="1"/>
  <c r="AD34" i="1"/>
  <c r="AC34" i="1"/>
  <c r="AI34" i="1" s="1"/>
  <c r="AK34" i="1" s="1"/>
  <c r="AL34" i="1" s="1"/>
  <c r="Y34" i="1"/>
  <c r="U34" i="1"/>
  <c r="W34" i="1" s="1"/>
  <c r="X34" i="1" s="1"/>
  <c r="N34" i="1"/>
  <c r="P34" i="1" s="1"/>
  <c r="Q34" i="1" s="1"/>
  <c r="E34" i="1"/>
  <c r="G34" i="1" s="1"/>
  <c r="H34" i="1" s="1"/>
  <c r="BA33" i="1"/>
  <c r="AE33" i="1"/>
  <c r="AD33" i="1"/>
  <c r="AF33" i="1" s="1"/>
  <c r="AG33" i="1" s="1"/>
  <c r="AH33" i="1" s="1"/>
  <c r="AC33" i="1"/>
  <c r="Y33" i="1"/>
  <c r="AI33" i="1" s="1"/>
  <c r="AJ33" i="1" s="1"/>
  <c r="AL33" i="1" s="1"/>
  <c r="U33" i="1"/>
  <c r="V33" i="1" s="1"/>
  <c r="X33" i="1" s="1"/>
  <c r="N33" i="1"/>
  <c r="O33" i="1" s="1"/>
  <c r="Q33" i="1" s="1"/>
  <c r="F33" i="1"/>
  <c r="H33" i="1" s="1"/>
  <c r="E33" i="1"/>
  <c r="BA32" i="1"/>
  <c r="AE32" i="1"/>
  <c r="AD32" i="1"/>
  <c r="AC32" i="1"/>
  <c r="Y32" i="1"/>
  <c r="U32" i="1"/>
  <c r="W32" i="1" s="1"/>
  <c r="X32" i="1" s="1"/>
  <c r="P32" i="1"/>
  <c r="Q32" i="1" s="1"/>
  <c r="N32" i="1"/>
  <c r="E32" i="1"/>
  <c r="G32" i="1" s="1"/>
  <c r="H32" i="1" s="1"/>
  <c r="BA31" i="1"/>
  <c r="AE31" i="1"/>
  <c r="AD31" i="1"/>
  <c r="AC31" i="1"/>
  <c r="Y31" i="1"/>
  <c r="V31" i="1"/>
  <c r="X31" i="1" s="1"/>
  <c r="U31" i="1"/>
  <c r="N31" i="1"/>
  <c r="O31" i="1" s="1"/>
  <c r="Q31" i="1" s="1"/>
  <c r="E31" i="1"/>
  <c r="F31" i="1" s="1"/>
  <c r="H31" i="1" s="1"/>
  <c r="BA30" i="1"/>
  <c r="AE30" i="1"/>
  <c r="AD30" i="1"/>
  <c r="AC30" i="1"/>
  <c r="AI30" i="1" s="1"/>
  <c r="AK30" i="1" s="1"/>
  <c r="AL30" i="1" s="1"/>
  <c r="Y30" i="1"/>
  <c r="U30" i="1"/>
  <c r="W30" i="1" s="1"/>
  <c r="X30" i="1" s="1"/>
  <c r="N30" i="1"/>
  <c r="P30" i="1" s="1"/>
  <c r="Q30" i="1" s="1"/>
  <c r="E30" i="1"/>
  <c r="G30" i="1" s="1"/>
  <c r="H30" i="1" s="1"/>
  <c r="BA29" i="1"/>
  <c r="AE29" i="1"/>
  <c r="AD29" i="1"/>
  <c r="AF29" i="1" s="1"/>
  <c r="AG29" i="1" s="1"/>
  <c r="AH29" i="1" s="1"/>
  <c r="AC29" i="1"/>
  <c r="Y29" i="1"/>
  <c r="AI29" i="1" s="1"/>
  <c r="AJ29" i="1" s="1"/>
  <c r="AL29" i="1" s="1"/>
  <c r="U29" i="1"/>
  <c r="V29" i="1" s="1"/>
  <c r="X29" i="1" s="1"/>
  <c r="N29" i="1"/>
  <c r="O29" i="1" s="1"/>
  <c r="Q29" i="1" s="1"/>
  <c r="F29" i="1"/>
  <c r="H29" i="1" s="1"/>
  <c r="E29" i="1"/>
  <c r="BA28" i="1"/>
  <c r="AE28" i="1"/>
  <c r="AD28" i="1"/>
  <c r="AC28" i="1"/>
  <c r="Y28" i="1"/>
  <c r="U28" i="1"/>
  <c r="W28" i="1" s="1"/>
  <c r="X28" i="1" s="1"/>
  <c r="P28" i="1"/>
  <c r="Q28" i="1" s="1"/>
  <c r="N28" i="1"/>
  <c r="E28" i="1"/>
  <c r="G28" i="1" s="1"/>
  <c r="H28" i="1" s="1"/>
  <c r="BA27" i="1"/>
  <c r="AE27" i="1"/>
  <c r="AD27" i="1"/>
  <c r="AC27" i="1"/>
  <c r="AI27" i="1" s="1"/>
  <c r="AJ27" i="1" s="1"/>
  <c r="AL27" i="1" s="1"/>
  <c r="Y27" i="1"/>
  <c r="U27" i="1"/>
  <c r="V27" i="1" s="1"/>
  <c r="X27" i="1" s="1"/>
  <c r="N27" i="1"/>
  <c r="O27" i="1" s="1"/>
  <c r="Q27" i="1" s="1"/>
  <c r="E27" i="1"/>
  <c r="F27" i="1" s="1"/>
  <c r="H27" i="1" s="1"/>
  <c r="BA26" i="1"/>
  <c r="AE26" i="1"/>
  <c r="AD26" i="1"/>
  <c r="AF26" i="1" s="1"/>
  <c r="AG26" i="1" s="1"/>
  <c r="AH26" i="1" s="1"/>
  <c r="AC26" i="1"/>
  <c r="Y26" i="1"/>
  <c r="AI26" i="1" s="1"/>
  <c r="AK26" i="1" s="1"/>
  <c r="AL26" i="1" s="1"/>
  <c r="U26" i="1"/>
  <c r="W26" i="1" s="1"/>
  <c r="X26" i="1" s="1"/>
  <c r="N26" i="1"/>
  <c r="P26" i="1" s="1"/>
  <c r="Q26" i="1" s="1"/>
  <c r="G26" i="1"/>
  <c r="H26" i="1" s="1"/>
  <c r="E26" i="1"/>
  <c r="BA25" i="1"/>
  <c r="AE25" i="1"/>
  <c r="AD25" i="1"/>
  <c r="AC25" i="1"/>
  <c r="Y25" i="1"/>
  <c r="U25" i="1"/>
  <c r="W25" i="1" s="1"/>
  <c r="X25" i="1" s="1"/>
  <c r="P25" i="1"/>
  <c r="Q25" i="1" s="1"/>
  <c r="N25" i="1"/>
  <c r="E25" i="1"/>
  <c r="G25" i="1" s="1"/>
  <c r="H25" i="1" s="1"/>
  <c r="BA24" i="1"/>
  <c r="AE24" i="1"/>
  <c r="AD24" i="1"/>
  <c r="AC24" i="1"/>
  <c r="Y24" i="1"/>
  <c r="W24" i="1"/>
  <c r="X24" i="1" s="1"/>
  <c r="U24" i="1"/>
  <c r="N24" i="1"/>
  <c r="P24" i="1" s="1"/>
  <c r="Q24" i="1" s="1"/>
  <c r="E24" i="1"/>
  <c r="G24" i="1" s="1"/>
  <c r="H24" i="1" s="1"/>
  <c r="BA23" i="1"/>
  <c r="AE23" i="1"/>
  <c r="AD23" i="1"/>
  <c r="AC23" i="1"/>
  <c r="AI23" i="1" s="1"/>
  <c r="AK23" i="1" s="1"/>
  <c r="AL23" i="1" s="1"/>
  <c r="Y23" i="1"/>
  <c r="U23" i="1"/>
  <c r="W23" i="1" s="1"/>
  <c r="X23" i="1" s="1"/>
  <c r="N23" i="1"/>
  <c r="P23" i="1" s="1"/>
  <c r="Q23" i="1" s="1"/>
  <c r="E23" i="1"/>
  <c r="G23" i="1" s="1"/>
  <c r="H23" i="1" s="1"/>
  <c r="BA22" i="1"/>
  <c r="AE22" i="1"/>
  <c r="AD22" i="1"/>
  <c r="AF22" i="1" s="1"/>
  <c r="AG22" i="1" s="1"/>
  <c r="AH22" i="1" s="1"/>
  <c r="AC22" i="1"/>
  <c r="Y22" i="1"/>
  <c r="AI22" i="1" s="1"/>
  <c r="AJ22" i="1" s="1"/>
  <c r="AL22" i="1" s="1"/>
  <c r="U22" i="1"/>
  <c r="V22" i="1" s="1"/>
  <c r="X22" i="1" s="1"/>
  <c r="N22" i="1"/>
  <c r="O22" i="1" s="1"/>
  <c r="Q22" i="1" s="1"/>
  <c r="F22" i="1"/>
  <c r="H22" i="1" s="1"/>
  <c r="E22" i="1"/>
  <c r="BA21" i="1"/>
  <c r="AE21" i="1"/>
  <c r="AD21" i="1"/>
  <c r="AC21" i="1"/>
  <c r="Y21" i="1"/>
  <c r="U21" i="1"/>
  <c r="W21" i="1" s="1"/>
  <c r="X21" i="1" s="1"/>
  <c r="P21" i="1"/>
  <c r="Q21" i="1" s="1"/>
  <c r="N21" i="1"/>
  <c r="E21" i="1"/>
  <c r="G21" i="1" s="1"/>
  <c r="H21" i="1" s="1"/>
  <c r="BA20" i="1"/>
  <c r="AE20" i="1"/>
  <c r="AD20" i="1"/>
  <c r="AC20" i="1"/>
  <c r="Y20" i="1"/>
  <c r="W20" i="1"/>
  <c r="X20" i="1" s="1"/>
  <c r="U20" i="1"/>
  <c r="N20" i="1"/>
  <c r="P20" i="1" s="1"/>
  <c r="Q20" i="1" s="1"/>
  <c r="E20" i="1"/>
  <c r="G20" i="1" s="1"/>
  <c r="H20" i="1" s="1"/>
  <c r="BA19" i="1"/>
  <c r="AE19" i="1"/>
  <c r="AD19" i="1"/>
  <c r="AC19" i="1"/>
  <c r="AF19" i="1" s="1"/>
  <c r="AG19" i="1" s="1"/>
  <c r="AH19" i="1" s="1"/>
  <c r="Y19" i="1"/>
  <c r="U19" i="1"/>
  <c r="V19" i="1" s="1"/>
  <c r="X19" i="1" s="1"/>
  <c r="N19" i="1"/>
  <c r="O19" i="1" s="1"/>
  <c r="Q19" i="1" s="1"/>
  <c r="E19" i="1"/>
  <c r="F19" i="1" s="1"/>
  <c r="H19" i="1" s="1"/>
  <c r="BA18" i="1"/>
  <c r="AE18" i="1"/>
  <c r="AD18" i="1"/>
  <c r="AC18" i="1"/>
  <c r="AF18" i="1" s="1"/>
  <c r="AG18" i="1" s="1"/>
  <c r="AH18" i="1" s="1"/>
  <c r="Y18" i="1"/>
  <c r="U18" i="1"/>
  <c r="W18" i="1" s="1"/>
  <c r="X18" i="1" s="1"/>
  <c r="N18" i="1"/>
  <c r="P18" i="1" s="1"/>
  <c r="Q18" i="1" s="1"/>
  <c r="E18" i="1"/>
  <c r="G18" i="1" s="1"/>
  <c r="H18" i="1" s="1"/>
  <c r="BA17" i="1"/>
  <c r="AE17" i="1"/>
  <c r="AD17" i="1"/>
  <c r="AC17" i="1"/>
  <c r="AF17" i="1" s="1"/>
  <c r="AG17" i="1" s="1"/>
  <c r="AH17" i="1" s="1"/>
  <c r="Y17" i="1"/>
  <c r="U17" i="1"/>
  <c r="V17" i="1" s="1"/>
  <c r="X17" i="1" s="1"/>
  <c r="N17" i="1"/>
  <c r="O17" i="1" s="1"/>
  <c r="Q17" i="1" s="1"/>
  <c r="E17" i="1"/>
  <c r="F17" i="1" s="1"/>
  <c r="H17" i="1" s="1"/>
  <c r="BA16" i="1"/>
  <c r="AE16" i="1"/>
  <c r="AD16" i="1"/>
  <c r="AC16" i="1"/>
  <c r="AF16" i="1" s="1"/>
  <c r="AG16" i="1" s="1"/>
  <c r="AH16" i="1" s="1"/>
  <c r="Y16" i="1"/>
  <c r="U16" i="1"/>
  <c r="V16" i="1" s="1"/>
  <c r="X16" i="1" s="1"/>
  <c r="N16" i="1"/>
  <c r="O16" i="1" s="1"/>
  <c r="Q16" i="1" s="1"/>
  <c r="E16" i="1"/>
  <c r="F16" i="1" s="1"/>
  <c r="H16" i="1" s="1"/>
  <c r="BA15" i="1"/>
  <c r="AE15" i="1"/>
  <c r="AD15" i="1"/>
  <c r="AC15" i="1"/>
  <c r="AF15" i="1" s="1"/>
  <c r="AG15" i="1" s="1"/>
  <c r="AH15" i="1" s="1"/>
  <c r="Y15" i="1"/>
  <c r="U15" i="1"/>
  <c r="V15" i="1" s="1"/>
  <c r="X15" i="1" s="1"/>
  <c r="N15" i="1"/>
  <c r="O15" i="1" s="1"/>
  <c r="Q15" i="1" s="1"/>
  <c r="E15" i="1"/>
  <c r="F15" i="1" s="1"/>
  <c r="H15" i="1" s="1"/>
  <c r="BA14" i="1"/>
  <c r="AE14" i="1"/>
  <c r="AD14" i="1"/>
  <c r="AC14" i="1"/>
  <c r="AF14" i="1" s="1"/>
  <c r="AG14" i="1" s="1"/>
  <c r="AH14" i="1" s="1"/>
  <c r="Y14" i="1"/>
  <c r="U14" i="1"/>
  <c r="V14" i="1" s="1"/>
  <c r="X14" i="1" s="1"/>
  <c r="N14" i="1"/>
  <c r="O14" i="1" s="1"/>
  <c r="Q14" i="1" s="1"/>
  <c r="E14" i="1"/>
  <c r="F14" i="1" s="1"/>
  <c r="H14" i="1" s="1"/>
  <c r="BA13" i="1"/>
  <c r="AE13" i="1"/>
  <c r="AD13" i="1"/>
  <c r="AC13" i="1"/>
  <c r="AF13" i="1" s="1"/>
  <c r="AG13" i="1" s="1"/>
  <c r="AH13" i="1" s="1"/>
  <c r="Y13" i="1"/>
  <c r="V13" i="1"/>
  <c r="X13" i="1" s="1"/>
  <c r="U13" i="1"/>
  <c r="N13" i="1"/>
  <c r="O13" i="1" s="1"/>
  <c r="Q13" i="1" s="1"/>
  <c r="E13" i="1"/>
  <c r="F13" i="1" s="1"/>
  <c r="H13" i="1" s="1"/>
  <c r="BA12" i="1"/>
  <c r="AE12" i="1"/>
  <c r="AD12" i="1"/>
  <c r="AF12" i="1" s="1"/>
  <c r="AG12" i="1" s="1"/>
  <c r="AH12" i="1" s="1"/>
  <c r="AC12" i="1"/>
  <c r="Y12" i="1"/>
  <c r="AI12" i="1" s="1"/>
  <c r="AJ12" i="1" s="1"/>
  <c r="AL12" i="1" s="1"/>
  <c r="U12" i="1"/>
  <c r="V12" i="1" s="1"/>
  <c r="X12" i="1" s="1"/>
  <c r="N12" i="1"/>
  <c r="O12" i="1" s="1"/>
  <c r="Q12" i="1" s="1"/>
  <c r="F12" i="1"/>
  <c r="H12" i="1" s="1"/>
  <c r="E12" i="1"/>
  <c r="BA11" i="1"/>
  <c r="AE11" i="1"/>
  <c r="AD11" i="1"/>
  <c r="AC11" i="1"/>
  <c r="Y11" i="1"/>
  <c r="U11" i="1"/>
  <c r="V11" i="1" s="1"/>
  <c r="X11" i="1" s="1"/>
  <c r="O11" i="1"/>
  <c r="Q11" i="1" s="1"/>
  <c r="N11" i="1"/>
  <c r="E11" i="1"/>
  <c r="F11" i="1" s="1"/>
  <c r="H11" i="1" s="1"/>
  <c r="BA10" i="1"/>
  <c r="AE10" i="1"/>
  <c r="AE41" i="1" s="1"/>
  <c r="AD10" i="1"/>
  <c r="AC10" i="1"/>
  <c r="AC41" i="1" s="1"/>
  <c r="Y10" i="1"/>
  <c r="V10" i="1"/>
  <c r="X10" i="1" s="1"/>
  <c r="U10" i="1"/>
  <c r="N10" i="1"/>
  <c r="O10" i="1" s="1"/>
  <c r="Q10" i="1" s="1"/>
  <c r="E10" i="1"/>
  <c r="F10" i="1" s="1"/>
  <c r="H10" i="1" s="1"/>
  <c r="Y41" i="1" l="1"/>
  <c r="AD41" i="1"/>
  <c r="AI11" i="1"/>
  <c r="AJ11" i="1" s="1"/>
  <c r="AL11" i="1" s="1"/>
  <c r="AI13" i="1"/>
  <c r="AJ13" i="1" s="1"/>
  <c r="AL13" i="1" s="1"/>
  <c r="BB13" i="1" s="1"/>
  <c r="AI14" i="1"/>
  <c r="AJ14" i="1" s="1"/>
  <c r="AL14" i="1" s="1"/>
  <c r="AI15" i="1"/>
  <c r="AJ15" i="1" s="1"/>
  <c r="AL15" i="1" s="1"/>
  <c r="AI16" i="1"/>
  <c r="AJ16" i="1" s="1"/>
  <c r="AL16" i="1" s="1"/>
  <c r="AI17" i="1"/>
  <c r="AJ17" i="1" s="1"/>
  <c r="AL17" i="1" s="1"/>
  <c r="AI18" i="1"/>
  <c r="AK18" i="1" s="1"/>
  <c r="AL18" i="1" s="1"/>
  <c r="AI19" i="1"/>
  <c r="AJ19" i="1" s="1"/>
  <c r="AL19" i="1" s="1"/>
  <c r="AI20" i="1"/>
  <c r="AK20" i="1" s="1"/>
  <c r="AL20" i="1" s="1"/>
  <c r="AF20" i="1"/>
  <c r="AG20" i="1" s="1"/>
  <c r="AH20" i="1" s="1"/>
  <c r="AI21" i="1"/>
  <c r="AK21" i="1" s="1"/>
  <c r="AL21" i="1" s="1"/>
  <c r="AI24" i="1"/>
  <c r="AK24" i="1" s="1"/>
  <c r="AL24" i="1" s="1"/>
  <c r="AF24" i="1"/>
  <c r="AG24" i="1" s="1"/>
  <c r="AH24" i="1" s="1"/>
  <c r="AI25" i="1"/>
  <c r="AK25" i="1" s="1"/>
  <c r="AL25" i="1" s="1"/>
  <c r="AI28" i="1"/>
  <c r="AK28" i="1" s="1"/>
  <c r="AL28" i="1" s="1"/>
  <c r="AI31" i="1"/>
  <c r="AJ31" i="1" s="1"/>
  <c r="AL31" i="1" s="1"/>
  <c r="AF31" i="1"/>
  <c r="AG31" i="1" s="1"/>
  <c r="AH31" i="1" s="1"/>
  <c r="AI32" i="1"/>
  <c r="AK32" i="1" s="1"/>
  <c r="AL32" i="1" s="1"/>
  <c r="AI35" i="1"/>
  <c r="AJ35" i="1" s="1"/>
  <c r="AL35" i="1" s="1"/>
  <c r="AF35" i="1"/>
  <c r="AG35" i="1" s="1"/>
  <c r="AH35" i="1" s="1"/>
  <c r="AI36" i="1"/>
  <c r="AJ36" i="1" s="1"/>
  <c r="AL36" i="1" s="1"/>
  <c r="AI39" i="1"/>
  <c r="AJ39" i="1" s="1"/>
  <c r="AL39" i="1" s="1"/>
  <c r="AF39" i="1"/>
  <c r="AG39" i="1" s="1"/>
  <c r="AH39" i="1" s="1"/>
  <c r="BB14" i="1"/>
  <c r="BB15" i="1"/>
  <c r="BB16" i="1"/>
  <c r="BB17" i="1"/>
  <c r="BB18" i="1"/>
  <c r="BB19" i="1"/>
  <c r="BB21" i="1"/>
  <c r="BB22" i="1"/>
  <c r="BB25" i="1"/>
  <c r="BB26" i="1"/>
  <c r="BB28" i="1"/>
  <c r="BB29" i="1"/>
  <c r="BB32" i="1"/>
  <c r="BB33" i="1"/>
  <c r="BB36" i="1"/>
  <c r="BB37" i="1"/>
  <c r="BB40" i="1"/>
  <c r="BB11" i="1"/>
  <c r="BB12" i="1"/>
  <c r="AI10" i="1"/>
  <c r="AJ10" i="1" s="1"/>
  <c r="AL10" i="1" s="1"/>
  <c r="BB10" i="1" s="1"/>
  <c r="AF11" i="1"/>
  <c r="AG11" i="1" s="1"/>
  <c r="AH11" i="1" s="1"/>
  <c r="BB20" i="1"/>
  <c r="BB23" i="1"/>
  <c r="BB24" i="1"/>
  <c r="BB27" i="1"/>
  <c r="AF10" i="1"/>
  <c r="AG10" i="1" s="1"/>
  <c r="AH10" i="1" s="1"/>
  <c r="AF21" i="1"/>
  <c r="AG21" i="1" s="1"/>
  <c r="AH21" i="1" s="1"/>
  <c r="AF23" i="1"/>
  <c r="AG23" i="1" s="1"/>
  <c r="AH23" i="1" s="1"/>
  <c r="AF25" i="1"/>
  <c r="AG25" i="1" s="1"/>
  <c r="AH25" i="1" s="1"/>
  <c r="AF27" i="1"/>
  <c r="AG27" i="1" s="1"/>
  <c r="AH27" i="1" s="1"/>
  <c r="BB30" i="1"/>
  <c r="BB31" i="1"/>
  <c r="BB34" i="1"/>
  <c r="BB35" i="1"/>
  <c r="BB38" i="1"/>
  <c r="BB39" i="1"/>
  <c r="AF28" i="1"/>
  <c r="AG28" i="1" s="1"/>
  <c r="AH28" i="1" s="1"/>
  <c r="AF30" i="1"/>
  <c r="AG30" i="1" s="1"/>
  <c r="AH30" i="1" s="1"/>
  <c r="AF32" i="1"/>
  <c r="AG32" i="1" s="1"/>
  <c r="AH32" i="1" s="1"/>
  <c r="AF34" i="1"/>
  <c r="AG34" i="1" s="1"/>
  <c r="AH34" i="1" s="1"/>
  <c r="AF36" i="1"/>
  <c r="AG36" i="1" s="1"/>
  <c r="AH36" i="1" s="1"/>
  <c r="AF38" i="1"/>
  <c r="AG38" i="1" s="1"/>
  <c r="AH38" i="1" s="1"/>
</calcChain>
</file>

<file path=xl/sharedStrings.xml><?xml version="1.0" encoding="utf-8"?>
<sst xmlns="http://schemas.openxmlformats.org/spreadsheetml/2006/main" count="117" uniqueCount="89">
  <si>
    <t>Перечень индикаторов на соответствие плановых показателей местных бюджетов требованиям Бюджетного кодекса Российской Федерации по состоянию на 01.10.2024</t>
  </si>
  <si>
    <t>Единица измерения: тыс.рублей, баллы</t>
  </si>
  <si>
    <t>с 2023 дополнительное ограничение п.7 ст. 107</t>
  </si>
  <si>
    <t>Наименование МР (МО, ГО)</t>
  </si>
  <si>
    <t>P1</t>
  </si>
  <si>
    <t>P2</t>
  </si>
  <si>
    <t>P3</t>
  </si>
  <si>
    <t>P4</t>
  </si>
  <si>
    <t>P7</t>
  </si>
  <si>
    <r>
      <t xml:space="preserve">Объем заимствований муниципального образования в </t>
    </r>
    <r>
      <rPr>
        <b/>
        <sz val="10"/>
        <color indexed="10"/>
        <rFont val="Times New Roman"/>
        <family val="1"/>
        <charset val="204"/>
      </rPr>
      <t xml:space="preserve">текущем </t>
    </r>
    <r>
      <rPr>
        <sz val="10"/>
        <rFont val="Times New Roman"/>
        <family val="1"/>
        <charset val="204"/>
      </rPr>
      <t>финансовом году</t>
    </r>
  </si>
  <si>
    <t>Сумма, направленная в текущем финансовом году на финансирование дефицита местного бюджета</t>
  </si>
  <si>
    <t>Сумма, направленная в текущем финансовом году на погашение долговых обязательств бюджета муниципального образования</t>
  </si>
  <si>
    <t>Отношение объема заимствований муниципального образования в текущем финансовом году к сумме, направляемой в текущем финансовом году на финансирование дефицита местного бюджета и (или) погашение долговых обязательств муниципального образования (ст. 106 БК РФ)</t>
  </si>
  <si>
    <t>Нормативное значение</t>
  </si>
  <si>
    <t>Нормативное значение для муниципального образования, в отношении которого осуществляются меры, предусмотренные п.4 ст.136 БК РФ</t>
  </si>
  <si>
    <t>Количество баллов</t>
  </si>
  <si>
    <t>Объем муниципального долга</t>
  </si>
  <si>
    <t>Общий годовой объем доходов местного бюджета</t>
  </si>
  <si>
    <r>
      <t>Объем безвозмездных поступлений (</t>
    </r>
    <r>
      <rPr>
        <sz val="10"/>
        <color indexed="30"/>
        <rFont val="Times New Roman"/>
        <family val="1"/>
        <charset val="204"/>
      </rPr>
      <t>КБК 0002000000...</t>
    </r>
    <r>
      <rPr>
        <sz val="10"/>
        <rFont val="Times New Roman"/>
        <family val="1"/>
        <charset val="204"/>
      </rPr>
      <t>)</t>
    </r>
  </si>
  <si>
    <t>Объем поступлений по дополнительным нормативам</t>
  </si>
  <si>
    <t>Задолженность по бюджетным кредитам</t>
  </si>
  <si>
    <t>Отношение объема муниципального долга к общему годовому объему доходов местного бюджета без учета объема безвозмездных поступлений и поступлений налоговых доходов по дополнительным нормативам (ст. 107 БК РФ)</t>
  </si>
  <si>
    <t>Объем расходов местного бюджета на обслуживание муниципального долга</t>
  </si>
  <si>
    <t>Объем расходов местного бюджета</t>
  </si>
  <si>
    <t>Объем расходов, которые осуществляются за счет субвенций, предоставляемых из областного бюджета</t>
  </si>
  <si>
    <t>Отношение объема расходов на обслуживание муниципального долга к объему расходов местного бюджета, за исключением объема расходов, которые осуществляются за счет субвенций, предоставляемых из областного бюджета (ст. 111 БК РФ)</t>
  </si>
  <si>
    <t>Размер дефицита местного бюджета</t>
  </si>
  <si>
    <t xml:space="preserve">Объем поступлений от продажи акций и иных форм участия в капитале, находящихся в собственности муниципального
образования
</t>
  </si>
  <si>
    <t>Величина снижения остатков средств на счетах по учету средств местного бюджета</t>
  </si>
  <si>
    <t>Разница между полученными и погашенными муниципальным образованием бюджетными кредитами, предоставленными местному бюджету другими бюджетами бюджетной системы Российской Федерации</t>
  </si>
  <si>
    <t>Объем доходов местного бюджета</t>
  </si>
  <si>
    <t>Объем безвозмездных поступлений</t>
  </si>
  <si>
    <t>Объем налоговых поступлений по дополнительным нормативам</t>
  </si>
  <si>
    <t>Доходы без безвозмездных и доп нормативов</t>
  </si>
  <si>
    <t>5% или 10% от собственных доходов</t>
  </si>
  <si>
    <t>5% или 10% от собственных доходов + остатки (отрицательную разницу по бюджетным кредитам не берем, т.к. она не увеличивает, а снижает сумму допустимого дефицита)</t>
  </si>
  <si>
    <t>Отношение дефицита местного бюджета (с учетом допустимых превышений) к общему годовому объему доходов местного бюджета без учета объема безвозмездных поступлений и (или) поступлений налоговых доходов по дополнительным нормативам (ст. 92.1 БК РФ)</t>
  </si>
  <si>
    <t>Выполнение условий подписанных муниципальными образованиями с  департаментом финансов Брянской области соглашений  о предоставлении бюджетных кредитов</t>
  </si>
  <si>
    <t>Итоговое значение</t>
  </si>
  <si>
    <t>Аi</t>
  </si>
  <si>
    <t>Бi</t>
  </si>
  <si>
    <t>Вi</t>
  </si>
  <si>
    <t>Р1 = Аi / (Бi + Вi),                                    если Бi &lt; 0, то Р1 = Аi / Вi</t>
  </si>
  <si>
    <t>≤1,0</t>
  </si>
  <si>
    <t>Гi</t>
  </si>
  <si>
    <t>Р2 = Аi / (Бi - Вi - Гi)</t>
  </si>
  <si>
    <t>≤0,5</t>
  </si>
  <si>
    <t>Р3 = Аi / (Бi - Вi)</t>
  </si>
  <si>
    <t>≤0,15</t>
  </si>
  <si>
    <t>Кi</t>
  </si>
  <si>
    <t>Дi</t>
  </si>
  <si>
    <t>Иi</t>
  </si>
  <si>
    <t>Р4 =  (Ai - Бi – Bi – Кi)/
(Гi -Дi - Иi), при Бi &gt; 0 и Bi &gt; 0, и Кi  &gt; 0
иначе Р4 = Ai/(Гi - Дi - Иi)</t>
  </si>
  <si>
    <t>≤0,10</t>
  </si>
  <si>
    <t>≤0,05</t>
  </si>
  <si>
    <t>план</t>
  </si>
  <si>
    <t>если -, то 0</t>
  </si>
  <si>
    <t>Гродской округ город Брянск</t>
  </si>
  <si>
    <t>Городской округ город Клинцы</t>
  </si>
  <si>
    <t>Новозыбковский городской округ</t>
  </si>
  <si>
    <t xml:space="preserve">Сельцовский городской округ  </t>
  </si>
  <si>
    <t xml:space="preserve">Городской округ город Фокино  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</si>
  <si>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</si>
  <si>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</si>
  <si>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</si>
  <si>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</si>
  <si>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</si>
  <si>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</si>
  <si>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</si>
  <si>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Жуковский муниципальный округ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</si>
  <si>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</si>
  <si>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</si>
  <si>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</si>
  <si>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</si>
  <si>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</si>
  <si>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</si>
  <si>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Красногорский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</si>
  <si>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</si>
  <si>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</si>
  <si>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</si>
  <si>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</si>
  <si>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</si>
  <si>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</si>
  <si>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Стародубский муниципальный округ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</si>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</sst>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0_ ;[Red]\-#,##0.00\ "/>
    <numFmt numFmtId="166" formatCode="0.0"/>
    <numFmt numFmtId="167" formatCode="#,##0.0_ ;[Red]\-#,##0.0\ "/>
    <numFmt numFmtId="168" formatCode="_-* #,##0_р_._-;\-* #,##0_р_._-;_-* &quot;-&quot;??_р_._-;_-@_-"/>
    <numFmt numFmtId="169" formatCode="_-* #,##0.0_р_._-;\-* #,##0.0_р_._-;_-* &quot;-&quot;??_р_._-;_-@_-"/>
    <numFmt numFmtId="170" formatCode="#,##0.0"/>
    <numFmt numFmtId="171" formatCode="#,##0_ ;[Red]\-#,##0\ "/>
    <numFmt numFmtId="172" formatCode="0.000"/>
    <numFmt numFmtId="173" formatCode="0.0_ ;[Red]\-0.0\ 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8"/>
      <name val="Arial Cyr"/>
      <charset val="204"/>
    </font>
    <font>
      <b/>
      <sz val="7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Helv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CFF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49"/>
    <xf numFmtId="9" fontId="1" fillId="0" borderId="0" applyFont="0" applyFill="0" applyBorder="0" applyAlignment="0" applyProtection="0"/>
    <xf numFmtId="0" fontId="14" fillId="0" borderId="0"/>
  </cellStyleXfs>
  <cellXfs count="137">
    <xf numFmtId="0" fontId="0" fillId="0" borderId="0" xfId="0"/>
    <xf numFmtId="0" fontId="2" fillId="0" borderId="0" xfId="0" applyFont="1"/>
    <xf numFmtId="164" fontId="3" fillId="0" borderId="0" xfId="1" applyFont="1" applyAlignment="1">
      <alignment horizontal="center" wrapText="1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/>
    <xf numFmtId="164" fontId="3" fillId="0" borderId="1" xfId="1" applyFont="1" applyBorder="1" applyAlignment="1">
      <alignment horizontal="center" wrapText="1"/>
    </xf>
    <xf numFmtId="165" fontId="0" fillId="0" borderId="0" xfId="0" applyNumberFormat="1" applyFill="1"/>
    <xf numFmtId="0" fontId="4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6" borderId="10" xfId="0" applyFill="1" applyBorder="1"/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6" fillId="7" borderId="14" xfId="0" applyFont="1" applyFill="1" applyBorder="1" applyAlignment="1"/>
    <xf numFmtId="0" fontId="6" fillId="7" borderId="15" xfId="0" applyFont="1" applyFill="1" applyBorder="1" applyAlignment="1"/>
    <xf numFmtId="0" fontId="6" fillId="7" borderId="16" xfId="0" applyFont="1" applyFill="1" applyBorder="1" applyAlignment="1"/>
    <xf numFmtId="0" fontId="2" fillId="0" borderId="17" xfId="0" applyFont="1" applyBorder="1" applyAlignment="1"/>
    <xf numFmtId="0" fontId="2" fillId="0" borderId="15" xfId="0" applyFont="1" applyBorder="1" applyAlignment="1"/>
    <xf numFmtId="0" fontId="2" fillId="0" borderId="18" xfId="0" applyFont="1" applyBorder="1" applyAlignment="1"/>
    <xf numFmtId="0" fontId="2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7" borderId="18" xfId="0" applyFont="1" applyFill="1" applyBorder="1" applyAlignment="1"/>
    <xf numFmtId="0" fontId="6" fillId="8" borderId="19" xfId="0" applyFont="1" applyFill="1" applyBorder="1" applyAlignment="1">
      <alignment horizontal="center"/>
    </xf>
    <xf numFmtId="0" fontId="6" fillId="8" borderId="14" xfId="0" applyFont="1" applyFill="1" applyBorder="1" applyAlignment="1"/>
    <xf numFmtId="0" fontId="6" fillId="8" borderId="16" xfId="0" applyFont="1" applyFill="1" applyBorder="1" applyAlignment="1"/>
    <xf numFmtId="0" fontId="0" fillId="6" borderId="20" xfId="0" applyFill="1" applyBorder="1"/>
    <xf numFmtId="0" fontId="2" fillId="9" borderId="21" xfId="0" applyFont="1" applyFill="1" applyBorder="1" applyAlignment="1">
      <alignment horizontal="center" vertical="center" wrapText="1"/>
    </xf>
    <xf numFmtId="0" fontId="6" fillId="10" borderId="21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27" xfId="0" applyFont="1" applyFill="1" applyBorder="1" applyAlignment="1">
      <alignment horizontal="center" vertical="center" wrapText="1"/>
    </xf>
    <xf numFmtId="0" fontId="6" fillId="11" borderId="26" xfId="0" applyFont="1" applyFill="1" applyBorder="1" applyAlignment="1">
      <alignment horizontal="center" vertical="center" wrapText="1"/>
    </xf>
    <xf numFmtId="0" fontId="6" fillId="9" borderId="28" xfId="0" applyFont="1" applyFill="1" applyBorder="1" applyAlignment="1">
      <alignment horizontal="center" vertical="center" wrapText="1"/>
    </xf>
    <xf numFmtId="166" fontId="6" fillId="9" borderId="27" xfId="0" applyNumberFormat="1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30" xfId="0" applyBorder="1"/>
    <xf numFmtId="0" fontId="0" fillId="0" borderId="31" xfId="0" applyFill="1" applyBorder="1"/>
    <xf numFmtId="0" fontId="0" fillId="0" borderId="0" xfId="0" applyFill="1" applyBorder="1"/>
    <xf numFmtId="167" fontId="0" fillId="0" borderId="0" xfId="0" applyNumberFormat="1" applyBorder="1"/>
    <xf numFmtId="0" fontId="0" fillId="0" borderId="31" xfId="0" applyBorder="1"/>
    <xf numFmtId="0" fontId="11" fillId="0" borderId="31" xfId="0" applyFont="1" applyBorder="1" applyAlignment="1">
      <alignment horizontal="center"/>
    </xf>
    <xf numFmtId="0" fontId="0" fillId="0" borderId="24" xfId="0" applyBorder="1"/>
    <xf numFmtId="0" fontId="12" fillId="12" borderId="32" xfId="0" applyFont="1" applyFill="1" applyBorder="1" applyAlignment="1">
      <alignment horizontal="center"/>
    </xf>
    <xf numFmtId="0" fontId="12" fillId="12" borderId="26" xfId="0" applyFont="1" applyFill="1" applyBorder="1" applyAlignment="1">
      <alignment horizontal="center"/>
    </xf>
    <xf numFmtId="0" fontId="12" fillId="12" borderId="27" xfId="0" applyFont="1" applyFill="1" applyBorder="1" applyAlignment="1">
      <alignment horizontal="center"/>
    </xf>
    <xf numFmtId="0" fontId="12" fillId="12" borderId="33" xfId="0" applyFont="1" applyFill="1" applyBorder="1" applyAlignment="1">
      <alignment horizontal="center"/>
    </xf>
    <xf numFmtId="0" fontId="12" fillId="12" borderId="28" xfId="0" applyFont="1" applyFill="1" applyBorder="1" applyAlignment="1">
      <alignment horizontal="center"/>
    </xf>
    <xf numFmtId="0" fontId="6" fillId="12" borderId="26" xfId="0" applyFont="1" applyFill="1" applyBorder="1" applyAlignment="1">
      <alignment horizontal="center"/>
    </xf>
    <xf numFmtId="0" fontId="12" fillId="12" borderId="29" xfId="0" applyFont="1" applyFill="1" applyBorder="1" applyAlignment="1">
      <alignment horizontal="center"/>
    </xf>
    <xf numFmtId="0" fontId="2" fillId="0" borderId="34" xfId="0" applyFont="1" applyBorder="1"/>
    <xf numFmtId="167" fontId="2" fillId="0" borderId="35" xfId="1" applyNumberFormat="1" applyFont="1" applyFill="1" applyBorder="1"/>
    <xf numFmtId="165" fontId="6" fillId="0" borderId="35" xfId="1" applyNumberFormat="1" applyFont="1" applyBorder="1"/>
    <xf numFmtId="168" fontId="2" fillId="0" borderId="36" xfId="1" applyNumberFormat="1" applyFont="1" applyBorder="1"/>
    <xf numFmtId="168" fontId="2" fillId="0" borderId="13" xfId="1" applyNumberFormat="1" applyFont="1" applyBorder="1"/>
    <xf numFmtId="169" fontId="6" fillId="0" borderId="37" xfId="1" applyNumberFormat="1" applyFont="1" applyBorder="1"/>
    <xf numFmtId="165" fontId="2" fillId="0" borderId="35" xfId="1" applyNumberFormat="1" applyFont="1" applyFill="1" applyBorder="1"/>
    <xf numFmtId="4" fontId="2" fillId="0" borderId="36" xfId="1" applyNumberFormat="1" applyFont="1" applyFill="1" applyBorder="1"/>
    <xf numFmtId="167" fontId="2" fillId="2" borderId="35" xfId="1" applyNumberFormat="1" applyFont="1" applyFill="1" applyBorder="1"/>
    <xf numFmtId="165" fontId="6" fillId="0" borderId="35" xfId="1" applyNumberFormat="1" applyFont="1" applyFill="1" applyBorder="1"/>
    <xf numFmtId="167" fontId="2" fillId="0" borderId="38" xfId="1" applyNumberFormat="1" applyFont="1" applyFill="1" applyBorder="1"/>
    <xf numFmtId="170" fontId="2" fillId="0" borderId="36" xfId="1" applyNumberFormat="1" applyFont="1" applyFill="1" applyBorder="1"/>
    <xf numFmtId="171" fontId="2" fillId="0" borderId="13" xfId="1" applyNumberFormat="1" applyFont="1" applyFill="1" applyBorder="1"/>
    <xf numFmtId="167" fontId="2" fillId="0" borderId="13" xfId="1" applyNumberFormat="1" applyFont="1" applyFill="1" applyBorder="1"/>
    <xf numFmtId="167" fontId="2" fillId="0" borderId="13" xfId="1" applyNumberFormat="1" applyFont="1" applyBorder="1"/>
    <xf numFmtId="172" fontId="6" fillId="0" borderId="13" xfId="1" applyNumberFormat="1" applyFont="1" applyBorder="1"/>
    <xf numFmtId="169" fontId="2" fillId="0" borderId="36" xfId="1" applyNumberFormat="1" applyFont="1" applyFill="1" applyBorder="1"/>
    <xf numFmtId="168" fontId="2" fillId="0" borderId="13" xfId="1" applyNumberFormat="1" applyFont="1" applyFill="1" applyBorder="1"/>
    <xf numFmtId="169" fontId="6" fillId="0" borderId="37" xfId="1" applyNumberFormat="1" applyFont="1" applyFill="1" applyBorder="1"/>
    <xf numFmtId="168" fontId="2" fillId="0" borderId="39" xfId="1" applyNumberFormat="1" applyFont="1" applyFill="1" applyBorder="1"/>
    <xf numFmtId="169" fontId="2" fillId="0" borderId="36" xfId="1" applyNumberFormat="1" applyFont="1" applyBorder="1"/>
    <xf numFmtId="173" fontId="6" fillId="0" borderId="13" xfId="1" applyNumberFormat="1" applyFont="1" applyBorder="1"/>
    <xf numFmtId="166" fontId="2" fillId="0" borderId="19" xfId="1" applyNumberFormat="1" applyFont="1" applyFill="1" applyBorder="1" applyAlignment="1">
      <alignment horizontal="center"/>
    </xf>
    <xf numFmtId="169" fontId="2" fillId="0" borderId="36" xfId="1" applyNumberFormat="1" applyFont="1" applyFill="1" applyBorder="1" applyAlignment="1">
      <alignment horizontal="center"/>
    </xf>
    <xf numFmtId="169" fontId="6" fillId="0" borderId="40" xfId="1" applyNumberFormat="1" applyFont="1" applyBorder="1"/>
    <xf numFmtId="0" fontId="2" fillId="0" borderId="41" xfId="0" applyFont="1" applyBorder="1"/>
    <xf numFmtId="168" fontId="2" fillId="0" borderId="36" xfId="1" applyNumberFormat="1" applyFont="1" applyFill="1" applyBorder="1"/>
    <xf numFmtId="167" fontId="2" fillId="0" borderId="39" xfId="1" applyNumberFormat="1" applyFont="1" applyFill="1" applyBorder="1"/>
    <xf numFmtId="172" fontId="6" fillId="0" borderId="13" xfId="1" applyNumberFormat="1" applyFont="1" applyFill="1" applyBorder="1"/>
    <xf numFmtId="0" fontId="2" fillId="0" borderId="41" xfId="0" applyFont="1" applyFill="1" applyBorder="1"/>
    <xf numFmtId="169" fontId="2" fillId="0" borderId="13" xfId="1" applyNumberFormat="1" applyFont="1" applyFill="1" applyBorder="1"/>
    <xf numFmtId="173" fontId="6" fillId="0" borderId="13" xfId="1" applyNumberFormat="1" applyFont="1" applyFill="1" applyBorder="1"/>
    <xf numFmtId="167" fontId="2" fillId="0" borderId="35" xfId="1" applyNumberFormat="1" applyFont="1" applyBorder="1"/>
    <xf numFmtId="165" fontId="2" fillId="0" borderId="35" xfId="1" applyNumberFormat="1" applyFont="1" applyBorder="1"/>
    <xf numFmtId="167" fontId="2" fillId="0" borderId="39" xfId="1" applyNumberFormat="1" applyFont="1" applyBorder="1"/>
    <xf numFmtId="172" fontId="6" fillId="2" borderId="13" xfId="1" applyNumberFormat="1" applyFont="1" applyFill="1" applyBorder="1"/>
    <xf numFmtId="168" fontId="2" fillId="0" borderId="39" xfId="1" applyNumberFormat="1" applyFont="1" applyBorder="1"/>
    <xf numFmtId="0" fontId="2" fillId="13" borderId="41" xfId="0" applyFont="1" applyFill="1" applyBorder="1"/>
    <xf numFmtId="167" fontId="2" fillId="13" borderId="35" xfId="1" applyNumberFormat="1" applyFont="1" applyFill="1" applyBorder="1"/>
    <xf numFmtId="165" fontId="6" fillId="13" borderId="35" xfId="1" applyNumberFormat="1" applyFont="1" applyFill="1" applyBorder="1"/>
    <xf numFmtId="168" fontId="2" fillId="13" borderId="36" xfId="1" applyNumberFormat="1" applyFont="1" applyFill="1" applyBorder="1"/>
    <xf numFmtId="168" fontId="2" fillId="13" borderId="13" xfId="1" applyNumberFormat="1" applyFont="1" applyFill="1" applyBorder="1"/>
    <xf numFmtId="169" fontId="6" fillId="13" borderId="37" xfId="1" applyNumberFormat="1" applyFont="1" applyFill="1" applyBorder="1"/>
    <xf numFmtId="165" fontId="2" fillId="13" borderId="35" xfId="1" applyNumberFormat="1" applyFont="1" applyFill="1" applyBorder="1"/>
    <xf numFmtId="4" fontId="2" fillId="13" borderId="36" xfId="1" applyNumberFormat="1" applyFont="1" applyFill="1" applyBorder="1"/>
    <xf numFmtId="167" fontId="2" fillId="13" borderId="39" xfId="1" applyNumberFormat="1" applyFont="1" applyFill="1" applyBorder="1"/>
    <xf numFmtId="170" fontId="2" fillId="13" borderId="36" xfId="1" applyNumberFormat="1" applyFont="1" applyFill="1" applyBorder="1"/>
    <xf numFmtId="167" fontId="2" fillId="13" borderId="13" xfId="1" applyNumberFormat="1" applyFont="1" applyFill="1" applyBorder="1"/>
    <xf numFmtId="172" fontId="6" fillId="13" borderId="13" xfId="1" applyNumberFormat="1" applyFont="1" applyFill="1" applyBorder="1"/>
    <xf numFmtId="169" fontId="2" fillId="13" borderId="36" xfId="1" applyNumberFormat="1" applyFont="1" applyFill="1" applyBorder="1"/>
    <xf numFmtId="169" fontId="2" fillId="13" borderId="13" xfId="1" applyNumberFormat="1" applyFont="1" applyFill="1" applyBorder="1"/>
    <xf numFmtId="168" fontId="2" fillId="13" borderId="39" xfId="1" applyNumberFormat="1" applyFont="1" applyFill="1" applyBorder="1"/>
    <xf numFmtId="173" fontId="6" fillId="13" borderId="13" xfId="1" applyNumberFormat="1" applyFont="1" applyFill="1" applyBorder="1"/>
    <xf numFmtId="0" fontId="6" fillId="12" borderId="42" xfId="0" applyFont="1" applyFill="1" applyBorder="1" applyProtection="1"/>
    <xf numFmtId="168" fontId="6" fillId="12" borderId="43" xfId="1" applyNumberFormat="1" applyFont="1" applyFill="1" applyBorder="1" applyAlignment="1">
      <alignment horizontal="center"/>
    </xf>
    <xf numFmtId="168" fontId="6" fillId="12" borderId="44" xfId="1" applyNumberFormat="1" applyFont="1" applyFill="1" applyBorder="1" applyAlignment="1">
      <alignment horizontal="center"/>
    </xf>
    <xf numFmtId="168" fontId="6" fillId="12" borderId="45" xfId="1" applyNumberFormat="1" applyFont="1" applyFill="1" applyBorder="1" applyAlignment="1">
      <alignment horizontal="center"/>
    </xf>
    <xf numFmtId="165" fontId="6" fillId="12" borderId="44" xfId="1" applyNumberFormat="1" applyFont="1" applyFill="1" applyBorder="1" applyAlignment="1">
      <alignment horizontal="center"/>
    </xf>
    <xf numFmtId="164" fontId="6" fillId="12" borderId="44" xfId="1" applyNumberFormat="1" applyFont="1" applyFill="1" applyBorder="1" applyAlignment="1">
      <alignment horizontal="center"/>
    </xf>
    <xf numFmtId="169" fontId="6" fillId="12" borderId="46" xfId="1" applyNumberFormat="1" applyFont="1" applyFill="1" applyBorder="1" applyAlignment="1">
      <alignment horizontal="center"/>
    </xf>
    <xf numFmtId="169" fontId="6" fillId="12" borderId="44" xfId="1" applyNumberFormat="1" applyFont="1" applyFill="1" applyBorder="1" applyAlignment="1">
      <alignment horizontal="center"/>
    </xf>
    <xf numFmtId="169" fontId="6" fillId="12" borderId="47" xfId="1" applyNumberFormat="1" applyFont="1" applyFill="1" applyBorder="1" applyAlignment="1">
      <alignment horizontal="center"/>
    </xf>
    <xf numFmtId="168" fontId="6" fillId="12" borderId="47" xfId="1" applyNumberFormat="1" applyFont="1" applyFill="1" applyBorder="1" applyAlignment="1">
      <alignment horizontal="center"/>
    </xf>
    <xf numFmtId="168" fontId="6" fillId="12" borderId="46" xfId="1" applyNumberFormat="1" applyFont="1" applyFill="1" applyBorder="1" applyAlignment="1">
      <alignment horizontal="center"/>
    </xf>
    <xf numFmtId="168" fontId="6" fillId="12" borderId="48" xfId="1" applyNumberFormat="1" applyFont="1" applyFill="1" applyBorder="1" applyAlignment="1">
      <alignment horizontal="center"/>
    </xf>
  </cellXfs>
  <cellStyles count="5">
    <cellStyle name="xl24" xfId="2"/>
    <cellStyle name="Обычный" xfId="0" builtinId="0"/>
    <cellStyle name="Процентный 2" xfId="3"/>
    <cellStyle name="Стиль 1" xfId="4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2"/>
  <sheetViews>
    <sheetView tabSelected="1" zoomScale="90" zoomScaleNormal="90" zoomScaleSheetLayoutView="70" workbookViewId="0">
      <pane xSplit="1" ySplit="9" topLeftCell="B25" activePane="bottomRight" state="frozen"/>
      <selection activeCell="A4" sqref="A4:A7"/>
      <selection pane="topRight" activeCell="A4" sqref="A4:A7"/>
      <selection pane="bottomLeft" activeCell="A4" sqref="A4:A7"/>
      <selection pane="bottomRight"/>
    </sheetView>
  </sheetViews>
  <sheetFormatPr defaultColWidth="9.08984375" defaultRowHeight="12.5" x14ac:dyDescent="0.25"/>
  <cols>
    <col min="1" max="1" width="30.1796875" customWidth="1"/>
    <col min="2" max="2" width="22" customWidth="1"/>
    <col min="3" max="3" width="20.36328125" customWidth="1"/>
    <col min="4" max="4" width="20.08984375" customWidth="1"/>
    <col min="5" max="5" width="32.90625" customWidth="1"/>
    <col min="6" max="6" width="17.90625" customWidth="1"/>
    <col min="7" max="7" width="23.6328125" customWidth="1"/>
    <col min="8" max="8" width="15.81640625" customWidth="1"/>
    <col min="9" max="10" width="20.08984375" customWidth="1"/>
    <col min="11" max="11" width="17.6328125" customWidth="1"/>
    <col min="12" max="12" width="17.453125" customWidth="1"/>
    <col min="13" max="13" width="12.90625" customWidth="1"/>
    <col min="14" max="14" width="19.54296875" customWidth="1"/>
    <col min="15" max="15" width="16.6328125" customWidth="1"/>
    <col min="16" max="16" width="17.08984375" customWidth="1"/>
    <col min="17" max="17" width="15.81640625" customWidth="1"/>
    <col min="18" max="18" width="21.54296875" customWidth="1"/>
    <col min="19" max="19" width="25.36328125" customWidth="1"/>
    <col min="20" max="20" width="24.36328125" customWidth="1"/>
    <col min="21" max="21" width="29.6328125" customWidth="1"/>
    <col min="22" max="22" width="18" customWidth="1"/>
    <col min="23" max="23" width="23.6328125" customWidth="1"/>
    <col min="24" max="24" width="14" customWidth="1"/>
    <col min="25" max="25" width="16.81640625" customWidth="1"/>
    <col min="26" max="26" width="15.08984375" customWidth="1"/>
    <col min="27" max="27" width="16.1796875" customWidth="1"/>
    <col min="28" max="28" width="20.6328125" hidden="1" customWidth="1"/>
    <col min="29" max="29" width="14.90625" customWidth="1"/>
    <col min="30" max="30" width="15.08984375" customWidth="1"/>
    <col min="31" max="31" width="14" customWidth="1"/>
    <col min="32" max="32" width="15.36328125" hidden="1" customWidth="1"/>
    <col min="33" max="33" width="20.36328125" hidden="1" customWidth="1"/>
    <col min="34" max="34" width="1.1796875" hidden="1" customWidth="1"/>
    <col min="35" max="35" width="25.453125" customWidth="1"/>
    <col min="36" max="36" width="12.81640625" customWidth="1"/>
    <col min="37" max="37" width="16" customWidth="1"/>
    <col min="38" max="38" width="13.08984375" customWidth="1"/>
    <col min="39" max="40" width="23.90625" hidden="1" customWidth="1"/>
    <col min="41" max="41" width="46" hidden="1" customWidth="1"/>
    <col min="42" max="42" width="16.90625" hidden="1" customWidth="1"/>
    <col min="43" max="43" width="21.08984375" hidden="1" customWidth="1"/>
    <col min="44" max="44" width="20.453125" hidden="1" customWidth="1"/>
    <col min="45" max="45" width="32" hidden="1" customWidth="1"/>
    <col min="46" max="46" width="27.453125" hidden="1" customWidth="1"/>
    <col min="47" max="47" width="31.54296875" hidden="1" customWidth="1"/>
    <col min="48" max="48" width="15.1796875" hidden="1" customWidth="1"/>
    <col min="49" max="49" width="24" hidden="1" customWidth="1"/>
    <col min="50" max="50" width="16.1796875" hidden="1" customWidth="1"/>
    <col min="51" max="52" width="17.90625" hidden="1" customWidth="1"/>
    <col min="53" max="53" width="14.90625" hidden="1" customWidth="1"/>
    <col min="54" max="54" width="13.90625" customWidth="1"/>
    <col min="55" max="16384" width="9.08984375" style="8"/>
  </cols>
  <sheetData>
    <row r="1" spans="1:54" s="6" customFormat="1" ht="16.5" customHeight="1" x14ac:dyDescent="0.3">
      <c r="A1" s="1"/>
      <c r="B1" s="2" t="s">
        <v>0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4"/>
      <c r="AN1" s="5"/>
      <c r="AO1" s="5"/>
      <c r="AP1" s="5"/>
      <c r="AQ1" s="4"/>
      <c r="AR1" s="3"/>
      <c r="AS1" s="4"/>
      <c r="AT1" s="4"/>
      <c r="AU1" s="5"/>
      <c r="AV1" s="5"/>
      <c r="AW1" s="4"/>
      <c r="AX1" s="1"/>
      <c r="BB1" s="1"/>
    </row>
    <row r="2" spans="1:54" ht="12.75" hidden="1" customHeight="1" x14ac:dyDescent="0.25">
      <c r="B2" s="2"/>
      <c r="C2" s="2"/>
      <c r="D2" s="2"/>
      <c r="E2" s="2"/>
      <c r="F2" s="2"/>
      <c r="G2" s="2"/>
      <c r="H2" s="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54" ht="13.5" thickBot="1" x14ac:dyDescent="0.35">
      <c r="A3" s="9" t="s">
        <v>1</v>
      </c>
      <c r="B3" s="10"/>
      <c r="C3" s="10"/>
      <c r="D3" s="10"/>
      <c r="E3" s="10"/>
      <c r="F3" s="10"/>
      <c r="G3" s="10"/>
      <c r="H3" s="10"/>
      <c r="I3" s="7"/>
      <c r="J3" s="7"/>
      <c r="K3" s="11"/>
      <c r="L3" s="7"/>
      <c r="M3" s="7"/>
      <c r="N3" s="7"/>
      <c r="O3" s="7"/>
      <c r="P3" s="7"/>
      <c r="Q3" s="7"/>
      <c r="R3" s="7" t="s">
        <v>2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</row>
    <row r="4" spans="1:54" ht="13.5" customHeight="1" thickTop="1" x14ac:dyDescent="0.25">
      <c r="A4" s="12" t="s">
        <v>3</v>
      </c>
      <c r="B4" s="13"/>
      <c r="C4" s="14"/>
      <c r="D4" s="14"/>
      <c r="E4" s="14"/>
      <c r="F4" s="14"/>
      <c r="G4" s="14"/>
      <c r="H4" s="15"/>
      <c r="I4" s="16"/>
      <c r="J4" s="17"/>
      <c r="K4" s="17"/>
      <c r="L4" s="17"/>
      <c r="M4" s="17"/>
      <c r="N4" s="17"/>
      <c r="O4" s="17"/>
      <c r="P4" s="17"/>
      <c r="Q4" s="18"/>
      <c r="R4" s="16"/>
      <c r="S4" s="17"/>
      <c r="T4" s="17"/>
      <c r="U4" s="17"/>
      <c r="V4" s="17"/>
      <c r="W4" s="17"/>
      <c r="X4" s="18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9"/>
      <c r="AM4" s="16"/>
      <c r="AN4" s="17"/>
      <c r="AO4" s="17"/>
      <c r="AP4" s="17"/>
      <c r="AQ4" s="17"/>
      <c r="AR4" s="19"/>
      <c r="AS4" s="16"/>
      <c r="AT4" s="17"/>
      <c r="AU4" s="17"/>
      <c r="AV4" s="17"/>
      <c r="AW4" s="17"/>
      <c r="AX4" s="19"/>
      <c r="AY4" s="20"/>
      <c r="AZ4" s="21"/>
      <c r="BA4" s="22"/>
      <c r="BB4" s="23"/>
    </row>
    <row r="5" spans="1:54" ht="13.5" customHeight="1" thickBot="1" x14ac:dyDescent="0.35">
      <c r="A5" s="24"/>
      <c r="B5" s="25"/>
      <c r="C5" s="26"/>
      <c r="D5" s="26"/>
      <c r="E5" s="27" t="s">
        <v>4</v>
      </c>
      <c r="F5" s="28"/>
      <c r="G5" s="29"/>
      <c r="H5" s="30"/>
      <c r="I5" s="31"/>
      <c r="J5" s="32"/>
      <c r="K5" s="33"/>
      <c r="L5" s="34"/>
      <c r="M5" s="35"/>
      <c r="N5" s="27" t="s">
        <v>5</v>
      </c>
      <c r="O5" s="28"/>
      <c r="P5" s="29"/>
      <c r="Q5" s="30"/>
      <c r="R5" s="36"/>
      <c r="S5" s="26"/>
      <c r="T5" s="26"/>
      <c r="U5" s="27" t="s">
        <v>6</v>
      </c>
      <c r="V5" s="28"/>
      <c r="W5" s="29"/>
      <c r="X5" s="30"/>
      <c r="Y5" s="37"/>
      <c r="Z5" s="26"/>
      <c r="AA5" s="26"/>
      <c r="AB5" s="35"/>
      <c r="AC5" s="35"/>
      <c r="AD5" s="35"/>
      <c r="AE5" s="35"/>
      <c r="AF5" s="35"/>
      <c r="AG5" s="35"/>
      <c r="AH5" s="35"/>
      <c r="AI5" s="27" t="s">
        <v>7</v>
      </c>
      <c r="AJ5" s="28"/>
      <c r="AK5" s="29"/>
      <c r="AL5" s="38"/>
      <c r="AM5" s="36"/>
      <c r="AN5" s="26"/>
      <c r="AO5" s="27"/>
      <c r="AP5" s="28"/>
      <c r="AQ5" s="29"/>
      <c r="AR5" s="38"/>
      <c r="AS5" s="36"/>
      <c r="AT5" s="26"/>
      <c r="AU5" s="27"/>
      <c r="AV5" s="28"/>
      <c r="AW5" s="29"/>
      <c r="AX5" s="38"/>
      <c r="AY5" s="39" t="s">
        <v>8</v>
      </c>
      <c r="AZ5" s="40"/>
      <c r="BA5" s="41"/>
      <c r="BB5" s="42"/>
    </row>
    <row r="6" spans="1:54" ht="159.75" customHeight="1" thickBot="1" x14ac:dyDescent="0.3">
      <c r="A6" s="24"/>
      <c r="B6" s="43" t="s">
        <v>9</v>
      </c>
      <c r="C6" s="43" t="s">
        <v>10</v>
      </c>
      <c r="D6" s="43" t="s">
        <v>11</v>
      </c>
      <c r="E6" s="43" t="s">
        <v>12</v>
      </c>
      <c r="F6" s="44" t="s">
        <v>13</v>
      </c>
      <c r="G6" s="44" t="s">
        <v>14</v>
      </c>
      <c r="H6" s="45" t="s">
        <v>15</v>
      </c>
      <c r="I6" s="43" t="s">
        <v>16</v>
      </c>
      <c r="J6" s="43" t="s">
        <v>17</v>
      </c>
      <c r="K6" s="43" t="s">
        <v>18</v>
      </c>
      <c r="L6" s="43" t="s">
        <v>19</v>
      </c>
      <c r="M6" s="43" t="s">
        <v>20</v>
      </c>
      <c r="N6" s="43" t="s">
        <v>21</v>
      </c>
      <c r="O6" s="44" t="s">
        <v>13</v>
      </c>
      <c r="P6" s="44" t="s">
        <v>14</v>
      </c>
      <c r="Q6" s="45" t="s">
        <v>15</v>
      </c>
      <c r="R6" s="43" t="s">
        <v>22</v>
      </c>
      <c r="S6" s="43" t="s">
        <v>23</v>
      </c>
      <c r="T6" s="43" t="s">
        <v>24</v>
      </c>
      <c r="U6" s="43" t="s">
        <v>25</v>
      </c>
      <c r="V6" s="44" t="s">
        <v>13</v>
      </c>
      <c r="W6" s="44" t="s">
        <v>14</v>
      </c>
      <c r="X6" s="45" t="s">
        <v>15</v>
      </c>
      <c r="Y6" s="43" t="s">
        <v>26</v>
      </c>
      <c r="Z6" s="43" t="s">
        <v>27</v>
      </c>
      <c r="AA6" s="43" t="s">
        <v>28</v>
      </c>
      <c r="AB6" s="43" t="s">
        <v>29</v>
      </c>
      <c r="AC6" s="43" t="s">
        <v>30</v>
      </c>
      <c r="AD6" s="43" t="s">
        <v>31</v>
      </c>
      <c r="AE6" s="43" t="s">
        <v>32</v>
      </c>
      <c r="AF6" s="46" t="s">
        <v>33</v>
      </c>
      <c r="AG6" s="46" t="s">
        <v>34</v>
      </c>
      <c r="AH6" s="46" t="s">
        <v>35</v>
      </c>
      <c r="AI6" s="43" t="s">
        <v>36</v>
      </c>
      <c r="AJ6" s="44" t="s">
        <v>13</v>
      </c>
      <c r="AK6" s="44" t="s">
        <v>14</v>
      </c>
      <c r="AL6" s="44" t="s">
        <v>15</v>
      </c>
      <c r="AM6" s="47"/>
      <c r="AN6" s="43"/>
      <c r="AO6" s="43"/>
      <c r="AP6" s="44"/>
      <c r="AQ6" s="44"/>
      <c r="AR6" s="44"/>
      <c r="AS6" s="47"/>
      <c r="AT6" s="43"/>
      <c r="AU6" s="43"/>
      <c r="AV6" s="44"/>
      <c r="AW6" s="44"/>
      <c r="AX6" s="44"/>
      <c r="AY6" s="47" t="s">
        <v>37</v>
      </c>
      <c r="AZ6" s="44" t="s">
        <v>13</v>
      </c>
      <c r="BA6" s="45" t="s">
        <v>15</v>
      </c>
      <c r="BB6" s="48" t="s">
        <v>38</v>
      </c>
    </row>
    <row r="7" spans="1:54" ht="53" thickTop="1" thickBot="1" x14ac:dyDescent="0.3">
      <c r="A7" s="49"/>
      <c r="B7" s="50" t="s">
        <v>39</v>
      </c>
      <c r="C7" s="50" t="s">
        <v>40</v>
      </c>
      <c r="D7" s="50" t="s">
        <v>41</v>
      </c>
      <c r="E7" s="50" t="s">
        <v>42</v>
      </c>
      <c r="F7" s="50" t="s">
        <v>43</v>
      </c>
      <c r="G7" s="50" t="s">
        <v>43</v>
      </c>
      <c r="H7" s="51">
        <v>1</v>
      </c>
      <c r="I7" s="50" t="s">
        <v>39</v>
      </c>
      <c r="J7" s="50" t="s">
        <v>40</v>
      </c>
      <c r="K7" s="50" t="s">
        <v>41</v>
      </c>
      <c r="L7" s="50" t="s">
        <v>44</v>
      </c>
      <c r="M7" s="50"/>
      <c r="N7" s="50" t="s">
        <v>45</v>
      </c>
      <c r="O7" s="50" t="s">
        <v>43</v>
      </c>
      <c r="P7" s="50" t="s">
        <v>46</v>
      </c>
      <c r="Q7" s="51">
        <v>1</v>
      </c>
      <c r="R7" s="50" t="s">
        <v>39</v>
      </c>
      <c r="S7" s="50" t="s">
        <v>40</v>
      </c>
      <c r="T7" s="50" t="s">
        <v>41</v>
      </c>
      <c r="U7" s="50" t="s">
        <v>47</v>
      </c>
      <c r="V7" s="50" t="s">
        <v>48</v>
      </c>
      <c r="W7" s="50" t="s">
        <v>48</v>
      </c>
      <c r="X7" s="51">
        <v>1</v>
      </c>
      <c r="Y7" s="50" t="s">
        <v>39</v>
      </c>
      <c r="Z7" s="50" t="s">
        <v>40</v>
      </c>
      <c r="AA7" s="50" t="s">
        <v>41</v>
      </c>
      <c r="AB7" s="50" t="s">
        <v>49</v>
      </c>
      <c r="AC7" s="50" t="s">
        <v>44</v>
      </c>
      <c r="AD7" s="50" t="s">
        <v>50</v>
      </c>
      <c r="AE7" s="50" t="s">
        <v>51</v>
      </c>
      <c r="AF7" s="52"/>
      <c r="AG7" s="52"/>
      <c r="AH7" s="52"/>
      <c r="AI7" s="50" t="s">
        <v>52</v>
      </c>
      <c r="AJ7" s="50" t="s">
        <v>53</v>
      </c>
      <c r="AK7" s="50" t="s">
        <v>54</v>
      </c>
      <c r="AL7" s="50">
        <v>1.5</v>
      </c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3" t="s">
        <v>39</v>
      </c>
      <c r="AZ7" s="50">
        <v>1</v>
      </c>
      <c r="BA7" s="54">
        <v>1</v>
      </c>
      <c r="BB7" s="55"/>
    </row>
    <row r="8" spans="1:54" ht="14.5" thickTop="1" thickBot="1" x14ac:dyDescent="0.3">
      <c r="A8" s="56"/>
      <c r="B8" s="57" t="s">
        <v>55</v>
      </c>
      <c r="C8" s="57" t="s">
        <v>55</v>
      </c>
      <c r="D8" s="57" t="s">
        <v>55</v>
      </c>
      <c r="E8" s="57"/>
      <c r="F8" s="57"/>
      <c r="G8" s="57"/>
      <c r="H8" s="58"/>
      <c r="I8" s="59"/>
      <c r="J8" s="57"/>
      <c r="K8" s="57"/>
      <c r="L8" s="60"/>
      <c r="M8" s="60"/>
      <c r="N8" s="57"/>
      <c r="O8" s="57"/>
      <c r="P8" s="57"/>
      <c r="Q8" s="58"/>
      <c r="R8" s="59"/>
      <c r="S8" s="57"/>
      <c r="T8" s="57"/>
      <c r="U8" s="57"/>
      <c r="V8" s="57"/>
      <c r="W8" s="57"/>
      <c r="X8" s="58"/>
      <c r="Y8" s="61" t="s">
        <v>55</v>
      </c>
      <c r="Z8" s="57"/>
      <c r="AA8" s="57"/>
      <c r="AB8" s="60"/>
      <c r="AC8" s="61"/>
      <c r="AD8" s="57"/>
      <c r="AE8" s="57"/>
      <c r="AF8" s="57"/>
      <c r="AG8" s="57"/>
      <c r="AH8" s="57"/>
      <c r="AI8" s="57"/>
      <c r="AJ8" s="57"/>
      <c r="AK8" s="57"/>
      <c r="AL8" s="57"/>
      <c r="AM8" s="62"/>
      <c r="AN8" s="57"/>
      <c r="AO8" s="57"/>
      <c r="AP8" s="57"/>
      <c r="AQ8" s="57"/>
      <c r="AR8" s="57"/>
      <c r="AS8" s="62"/>
      <c r="AT8" s="57"/>
      <c r="AU8" s="57"/>
      <c r="AV8" s="57"/>
      <c r="AW8" s="57"/>
      <c r="AX8" s="57"/>
      <c r="AY8" s="63"/>
      <c r="AZ8" s="57"/>
      <c r="BA8" s="58"/>
      <c r="BB8" s="64"/>
    </row>
    <row r="9" spans="1:54" ht="14" thickTop="1" thickBot="1" x14ac:dyDescent="0.35">
      <c r="A9" s="65"/>
      <c r="B9" s="66"/>
      <c r="C9" s="66"/>
      <c r="D9" s="66"/>
      <c r="E9" s="66"/>
      <c r="F9" s="66"/>
      <c r="G9" s="66"/>
      <c r="H9" s="67"/>
      <c r="I9" s="68"/>
      <c r="J9" s="66"/>
      <c r="K9" s="66"/>
      <c r="L9" s="66"/>
      <c r="M9" s="66"/>
      <c r="N9" s="66"/>
      <c r="O9" s="66"/>
      <c r="P9" s="66"/>
      <c r="Q9" s="67"/>
      <c r="R9" s="68"/>
      <c r="S9" s="66"/>
      <c r="T9" s="66"/>
      <c r="U9" s="66"/>
      <c r="V9" s="66"/>
      <c r="W9" s="66"/>
      <c r="X9" s="67"/>
      <c r="Y9" s="69"/>
      <c r="Z9" s="66"/>
      <c r="AA9" s="66"/>
      <c r="AB9" s="66"/>
      <c r="AC9" s="66"/>
      <c r="AD9" s="66"/>
      <c r="AE9" s="66"/>
      <c r="AF9" s="66"/>
      <c r="AG9" s="66"/>
      <c r="AH9" s="66"/>
      <c r="AI9" s="70" t="s">
        <v>56</v>
      </c>
      <c r="AJ9" s="66"/>
      <c r="AK9" s="66"/>
      <c r="AL9" s="66"/>
      <c r="AM9" s="68"/>
      <c r="AN9" s="66"/>
      <c r="AO9" s="66"/>
      <c r="AP9" s="66"/>
      <c r="AQ9" s="66"/>
      <c r="AR9" s="66"/>
      <c r="AS9" s="68"/>
      <c r="AT9" s="66"/>
      <c r="AU9" s="66"/>
      <c r="AV9" s="66"/>
      <c r="AW9" s="66"/>
      <c r="AX9" s="66"/>
      <c r="AY9" s="68"/>
      <c r="AZ9" s="66"/>
      <c r="BA9" s="67"/>
      <c r="BB9" s="71"/>
    </row>
    <row r="10" spans="1:54" ht="13.5" thickTop="1" x14ac:dyDescent="0.3">
      <c r="A10" s="72" t="s">
        <v>57</v>
      </c>
      <c r="B10" s="73">
        <v>1780723.6</v>
      </c>
      <c r="C10" s="73">
        <v>517104.38</v>
      </c>
      <c r="D10" s="73">
        <v>1534703.1</v>
      </c>
      <c r="E10" s="74">
        <f>IF(AND(B10=0,D10=0),0,B10/(IF(C10&gt;0,C10,0)+D10))</f>
        <v>0.86788045046019624</v>
      </c>
      <c r="F10" s="75">
        <f>IF(E10&lt;=1.05,1,0)</f>
        <v>1</v>
      </c>
      <c r="G10" s="76"/>
      <c r="H10" s="77">
        <f t="shared" ref="H10:H36" si="0">F10+G10</f>
        <v>1</v>
      </c>
      <c r="I10" s="78">
        <v>2726837.07</v>
      </c>
      <c r="J10" s="78">
        <v>20249965.5</v>
      </c>
      <c r="K10" s="79">
        <v>16024270.43</v>
      </c>
      <c r="L10" s="78">
        <v>314035</v>
      </c>
      <c r="M10" s="80">
        <v>0</v>
      </c>
      <c r="N10" s="81">
        <f>(I10)/(J10-K10-L10)</f>
        <v>0.69710481514310108</v>
      </c>
      <c r="O10" s="75">
        <f t="shared" ref="O10:O16" si="1">IF(N10&lt;=1,1,0)</f>
        <v>1</v>
      </c>
      <c r="P10" s="76"/>
      <c r="Q10" s="77">
        <f t="shared" ref="Q10:Q36" si="2">O10+P10</f>
        <v>1</v>
      </c>
      <c r="R10" s="82">
        <v>202372.7</v>
      </c>
      <c r="S10" s="73">
        <v>21050197.699999999</v>
      </c>
      <c r="T10" s="83">
        <v>4875983.45</v>
      </c>
      <c r="U10" s="74">
        <f>R10/(S10-T10)</f>
        <v>1.2512057579551353E-2</v>
      </c>
      <c r="V10" s="75">
        <f t="shared" ref="V10:V16" si="3">IF(U10&lt;=0.15,1,0)</f>
        <v>1</v>
      </c>
      <c r="W10" s="76"/>
      <c r="X10" s="77">
        <f>V10+W10</f>
        <v>1</v>
      </c>
      <c r="Y10" s="73">
        <f>C10</f>
        <v>517104.38</v>
      </c>
      <c r="Z10" s="84"/>
      <c r="AA10" s="85">
        <v>321084.03999999998</v>
      </c>
      <c r="AB10" s="86"/>
      <c r="AC10" s="86">
        <f t="shared" ref="AC10:AE36" si="4">J10</f>
        <v>20249965.5</v>
      </c>
      <c r="AD10" s="86">
        <f t="shared" si="4"/>
        <v>16024270.43</v>
      </c>
      <c r="AE10" s="85">
        <f t="shared" si="4"/>
        <v>314035</v>
      </c>
      <c r="AF10" s="86">
        <f>AC10-AD10-AE10</f>
        <v>3911660.0700000003</v>
      </c>
      <c r="AG10" s="86">
        <f t="shared" ref="AG10:AG17" si="5">AF10*10%</f>
        <v>391166.00700000004</v>
      </c>
      <c r="AH10" s="86">
        <f t="shared" ref="AH10:AH36" si="6">IF(AA10&gt;0,AA10,0)+AG10+IF(AB10&gt;0,AB10,0)</f>
        <v>712250.04700000002</v>
      </c>
      <c r="AI10" s="87">
        <f t="shared" ref="AI10:AI36" si="7">IF((Y10-IF(Z10&gt;0,Z10,0)-IF(AA10&gt;0,AA10,0)-IF(AB10&gt;0,AB10,0))/(AC10-AD10-AE10)&gt;0,(Y10-IF(Z10&gt;0,Z10,0)-IF(AA10&gt;0,AA10,0)-IF(AB10&gt;0,AB10,0))/(AC10-AD10-AE10),0)</f>
        <v>5.0111803298899645E-2</v>
      </c>
      <c r="AJ10" s="88">
        <f>IF(AI10&lt;=0.1,1.5,0)</f>
        <v>1.5</v>
      </c>
      <c r="AK10" s="89"/>
      <c r="AL10" s="90">
        <f t="shared" ref="AL10:AL36" si="8">AJ10+AK10</f>
        <v>1.5</v>
      </c>
      <c r="AM10" s="91"/>
      <c r="AN10" s="89"/>
      <c r="AO10" s="87"/>
      <c r="AP10" s="92"/>
      <c r="AQ10" s="76"/>
      <c r="AR10" s="93"/>
      <c r="AS10" s="91"/>
      <c r="AT10" s="89"/>
      <c r="AU10" s="87"/>
      <c r="AV10" s="92"/>
      <c r="AW10" s="76"/>
      <c r="AX10" s="93"/>
      <c r="AY10" s="94"/>
      <c r="AZ10" s="95"/>
      <c r="BA10" s="88">
        <f>AZ10</f>
        <v>0</v>
      </c>
      <c r="BB10" s="96">
        <f>H10+Q10+X10+AL10+BA10</f>
        <v>4.5</v>
      </c>
    </row>
    <row r="11" spans="1:54" ht="13" x14ac:dyDescent="0.3">
      <c r="A11" s="97" t="s">
        <v>58</v>
      </c>
      <c r="B11" s="73">
        <v>0</v>
      </c>
      <c r="C11" s="73">
        <v>142785.20000000001</v>
      </c>
      <c r="D11" s="73">
        <v>0</v>
      </c>
      <c r="E11" s="74">
        <f t="shared" ref="E11:E36" si="9">IF(AND(B11=0,D11=0),0,B11/(IF(C11&gt;0,C11,0)+D11))</f>
        <v>0</v>
      </c>
      <c r="F11" s="98">
        <f t="shared" ref="F11:F17" si="10">IF(E11&lt;=1.05,1,0)</f>
        <v>1</v>
      </c>
      <c r="G11" s="76"/>
      <c r="H11" s="77">
        <f t="shared" si="0"/>
        <v>1</v>
      </c>
      <c r="I11" s="78">
        <v>49500</v>
      </c>
      <c r="J11" s="78">
        <v>1756098.2</v>
      </c>
      <c r="K11" s="79">
        <v>1091431.8400000001</v>
      </c>
      <c r="L11" s="78">
        <v>334773</v>
      </c>
      <c r="M11" s="80">
        <v>0</v>
      </c>
      <c r="N11" s="74">
        <f t="shared" ref="N11:N36" si="11">(I11)/(J11-K11-L11)</f>
        <v>0.15004848839637155</v>
      </c>
      <c r="O11" s="75">
        <f t="shared" si="1"/>
        <v>1</v>
      </c>
      <c r="P11" s="76"/>
      <c r="Q11" s="77">
        <f t="shared" si="2"/>
        <v>1</v>
      </c>
      <c r="R11" s="99">
        <v>49.5</v>
      </c>
      <c r="S11" s="73">
        <v>1899430.2</v>
      </c>
      <c r="T11" s="83">
        <v>715916.67</v>
      </c>
      <c r="U11" s="74">
        <f t="shared" ref="U11:U36" si="12">R11/(S11-T11)</f>
        <v>4.1824616909956243E-5</v>
      </c>
      <c r="V11" s="75">
        <f t="shared" si="3"/>
        <v>1</v>
      </c>
      <c r="W11" s="76"/>
      <c r="X11" s="77">
        <f t="shared" ref="X11:X36" si="13">V11+W11</f>
        <v>1</v>
      </c>
      <c r="Y11" s="73">
        <f t="shared" ref="Y11:Y36" si="14">C11</f>
        <v>142785.20000000001</v>
      </c>
      <c r="Z11" s="85"/>
      <c r="AA11" s="85">
        <v>142785.20000000001</v>
      </c>
      <c r="AB11" s="86"/>
      <c r="AC11" s="86">
        <f t="shared" si="4"/>
        <v>1756098.2</v>
      </c>
      <c r="AD11" s="86">
        <f t="shared" si="4"/>
        <v>1091431.8400000001</v>
      </c>
      <c r="AE11" s="85">
        <f t="shared" si="4"/>
        <v>334773</v>
      </c>
      <c r="AF11" s="86">
        <f t="shared" ref="AF11:AF36" si="15">AC11-AD11-AE11</f>
        <v>329893.35999999987</v>
      </c>
      <c r="AG11" s="86">
        <f t="shared" si="5"/>
        <v>32989.335999999988</v>
      </c>
      <c r="AH11" s="86">
        <f t="shared" si="6"/>
        <v>175774.53599999999</v>
      </c>
      <c r="AI11" s="87">
        <f t="shared" si="7"/>
        <v>0</v>
      </c>
      <c r="AJ11" s="88">
        <f t="shared" ref="AJ11:AJ17" si="16">IF(AI11&lt;=0.1,1.5,0)</f>
        <v>1.5</v>
      </c>
      <c r="AK11" s="76"/>
      <c r="AL11" s="77">
        <f t="shared" si="8"/>
        <v>1.5</v>
      </c>
      <c r="AM11" s="91"/>
      <c r="AN11" s="89"/>
      <c r="AO11" s="87"/>
      <c r="AP11" s="92"/>
      <c r="AQ11" s="76"/>
      <c r="AR11" s="93"/>
      <c r="AS11" s="91"/>
      <c r="AT11" s="89"/>
      <c r="AU11" s="87"/>
      <c r="AV11" s="92"/>
      <c r="AW11" s="76"/>
      <c r="AX11" s="93"/>
      <c r="AY11" s="94"/>
      <c r="AZ11" s="95"/>
      <c r="BA11" s="88">
        <f t="shared" ref="BA11:BA36" si="17">AZ11</f>
        <v>0</v>
      </c>
      <c r="BB11" s="96">
        <f t="shared" ref="BB11:BB37" si="18">H11+Q11+X11+AL11+BA11</f>
        <v>4.5</v>
      </c>
    </row>
    <row r="12" spans="1:54" ht="13" x14ac:dyDescent="0.3">
      <c r="A12" s="97" t="s">
        <v>59</v>
      </c>
      <c r="B12" s="73">
        <v>0</v>
      </c>
      <c r="C12" s="73">
        <v>16808.71</v>
      </c>
      <c r="D12" s="73">
        <v>0</v>
      </c>
      <c r="E12" s="74">
        <f t="shared" si="9"/>
        <v>0</v>
      </c>
      <c r="F12" s="75">
        <f t="shared" si="10"/>
        <v>1</v>
      </c>
      <c r="G12" s="76"/>
      <c r="H12" s="77">
        <f t="shared" si="0"/>
        <v>1</v>
      </c>
      <c r="I12" s="78">
        <v>41000</v>
      </c>
      <c r="J12" s="78">
        <v>1582909.9</v>
      </c>
      <c r="K12" s="79">
        <v>1189544.1499999999</v>
      </c>
      <c r="L12" s="78">
        <v>187080</v>
      </c>
      <c r="M12" s="80">
        <v>0</v>
      </c>
      <c r="N12" s="74">
        <f t="shared" si="11"/>
        <v>0.19875342819365854</v>
      </c>
      <c r="O12" s="75">
        <f t="shared" si="1"/>
        <v>1</v>
      </c>
      <c r="P12" s="76"/>
      <c r="Q12" s="77">
        <f t="shared" si="2"/>
        <v>1</v>
      </c>
      <c r="R12" s="99">
        <v>41</v>
      </c>
      <c r="S12" s="73">
        <v>1676926.1</v>
      </c>
      <c r="T12" s="83">
        <v>607201.61</v>
      </c>
      <c r="U12" s="74">
        <f t="shared" si="12"/>
        <v>3.8327625835695314E-5</v>
      </c>
      <c r="V12" s="75">
        <f t="shared" si="3"/>
        <v>1</v>
      </c>
      <c r="W12" s="76"/>
      <c r="X12" s="77">
        <f t="shared" si="13"/>
        <v>1</v>
      </c>
      <c r="Y12" s="73">
        <f t="shared" si="14"/>
        <v>16808.71</v>
      </c>
      <c r="Z12" s="85"/>
      <c r="AA12" s="85">
        <v>16808.71</v>
      </c>
      <c r="AB12" s="86"/>
      <c r="AC12" s="86">
        <f t="shared" si="4"/>
        <v>1582909.9</v>
      </c>
      <c r="AD12" s="86">
        <f t="shared" si="4"/>
        <v>1189544.1499999999</v>
      </c>
      <c r="AE12" s="85">
        <f t="shared" si="4"/>
        <v>187080</v>
      </c>
      <c r="AF12" s="86">
        <f t="shared" si="15"/>
        <v>206285.75</v>
      </c>
      <c r="AG12" s="86">
        <f t="shared" si="5"/>
        <v>20628.575000000001</v>
      </c>
      <c r="AH12" s="86">
        <f t="shared" si="6"/>
        <v>37437.285000000003</v>
      </c>
      <c r="AI12" s="87">
        <f t="shared" si="7"/>
        <v>0</v>
      </c>
      <c r="AJ12" s="88">
        <f t="shared" si="16"/>
        <v>1.5</v>
      </c>
      <c r="AK12" s="76"/>
      <c r="AL12" s="77">
        <f t="shared" si="8"/>
        <v>1.5</v>
      </c>
      <c r="AM12" s="91"/>
      <c r="AN12" s="89"/>
      <c r="AO12" s="100"/>
      <c r="AP12" s="92"/>
      <c r="AQ12" s="76"/>
      <c r="AR12" s="93"/>
      <c r="AS12" s="91"/>
      <c r="AT12" s="89"/>
      <c r="AU12" s="100"/>
      <c r="AV12" s="92"/>
      <c r="AW12" s="76"/>
      <c r="AX12" s="93"/>
      <c r="AY12" s="94"/>
      <c r="AZ12" s="95"/>
      <c r="BA12" s="88">
        <f t="shared" si="17"/>
        <v>0</v>
      </c>
      <c r="BB12" s="96">
        <f t="shared" si="18"/>
        <v>4.5</v>
      </c>
    </row>
    <row r="13" spans="1:54" s="7" customFormat="1" ht="13" x14ac:dyDescent="0.3">
      <c r="A13" s="101" t="s">
        <v>60</v>
      </c>
      <c r="B13" s="73">
        <v>0</v>
      </c>
      <c r="C13" s="73">
        <v>115014.45</v>
      </c>
      <c r="D13" s="73">
        <v>0</v>
      </c>
      <c r="E13" s="81">
        <f t="shared" si="9"/>
        <v>0</v>
      </c>
      <c r="F13" s="75">
        <f t="shared" si="10"/>
        <v>1</v>
      </c>
      <c r="G13" s="89"/>
      <c r="H13" s="90">
        <f t="shared" si="0"/>
        <v>1</v>
      </c>
      <c r="I13" s="78">
        <v>7000</v>
      </c>
      <c r="J13" s="78">
        <v>592936.80000000005</v>
      </c>
      <c r="K13" s="79">
        <v>409309.36</v>
      </c>
      <c r="L13" s="78">
        <v>91502</v>
      </c>
      <c r="M13" s="73">
        <v>0</v>
      </c>
      <c r="N13" s="81">
        <f t="shared" si="11"/>
        <v>7.5983354869187003E-2</v>
      </c>
      <c r="O13" s="75">
        <f t="shared" si="1"/>
        <v>1</v>
      </c>
      <c r="P13" s="89"/>
      <c r="Q13" s="90">
        <f t="shared" si="2"/>
        <v>1</v>
      </c>
      <c r="R13" s="99">
        <v>7</v>
      </c>
      <c r="S13" s="73">
        <v>814230.4</v>
      </c>
      <c r="T13" s="83">
        <v>198610.53</v>
      </c>
      <c r="U13" s="81">
        <f t="shared" si="12"/>
        <v>1.1370653127229308E-5</v>
      </c>
      <c r="V13" s="75">
        <f t="shared" si="3"/>
        <v>1</v>
      </c>
      <c r="W13" s="89"/>
      <c r="X13" s="90">
        <f t="shared" si="13"/>
        <v>1</v>
      </c>
      <c r="Y13" s="73">
        <f t="shared" si="14"/>
        <v>115014.45</v>
      </c>
      <c r="Z13" s="85"/>
      <c r="AA13" s="85">
        <v>115014.45</v>
      </c>
      <c r="AB13" s="85"/>
      <c r="AC13" s="85">
        <f t="shared" si="4"/>
        <v>592936.80000000005</v>
      </c>
      <c r="AD13" s="85">
        <f t="shared" si="4"/>
        <v>409309.36</v>
      </c>
      <c r="AE13" s="85">
        <f t="shared" si="4"/>
        <v>91502</v>
      </c>
      <c r="AF13" s="85">
        <f t="shared" si="15"/>
        <v>92125.440000000061</v>
      </c>
      <c r="AG13" s="86">
        <f>AF13*5%</f>
        <v>4606.2720000000036</v>
      </c>
      <c r="AH13" s="85">
        <f t="shared" si="6"/>
        <v>119620.72199999999</v>
      </c>
      <c r="AI13" s="100">
        <f t="shared" si="7"/>
        <v>0</v>
      </c>
      <c r="AJ13" s="88">
        <f t="shared" si="16"/>
        <v>1.5</v>
      </c>
      <c r="AK13" s="102"/>
      <c r="AL13" s="90">
        <f t="shared" si="8"/>
        <v>1.5</v>
      </c>
      <c r="AM13" s="91"/>
      <c r="AN13" s="89"/>
      <c r="AO13" s="100"/>
      <c r="AP13" s="92"/>
      <c r="AQ13" s="102"/>
      <c r="AR13" s="103"/>
      <c r="AS13" s="91"/>
      <c r="AT13" s="89"/>
      <c r="AU13" s="100"/>
      <c r="AV13" s="92"/>
      <c r="AW13" s="102"/>
      <c r="AX13" s="103"/>
      <c r="AY13" s="94"/>
      <c r="AZ13" s="95"/>
      <c r="BA13" s="88">
        <f t="shared" si="17"/>
        <v>0</v>
      </c>
      <c r="BB13" s="96">
        <f t="shared" si="18"/>
        <v>4.5</v>
      </c>
    </row>
    <row r="14" spans="1:54" ht="13" x14ac:dyDescent="0.3">
      <c r="A14" s="97" t="s">
        <v>61</v>
      </c>
      <c r="B14" s="104">
        <v>0</v>
      </c>
      <c r="C14" s="104">
        <v>8665.84</v>
      </c>
      <c r="D14" s="104">
        <v>0</v>
      </c>
      <c r="E14" s="81">
        <f>IF(AND(B14=0,D14=0),0,B14/(IF(C14&gt;0,C14,0)+D14))</f>
        <v>0</v>
      </c>
      <c r="F14" s="75">
        <f>IF(E14&lt;=1.05,1,0)</f>
        <v>1</v>
      </c>
      <c r="G14" s="76"/>
      <c r="H14" s="77">
        <f>F14+G14</f>
        <v>1</v>
      </c>
      <c r="I14" s="78">
        <v>19500</v>
      </c>
      <c r="J14" s="105">
        <v>659927.30000000005</v>
      </c>
      <c r="K14" s="79">
        <v>545357.18999999994</v>
      </c>
      <c r="L14" s="78">
        <v>54096</v>
      </c>
      <c r="M14" s="104">
        <v>0</v>
      </c>
      <c r="N14" s="81">
        <f t="shared" si="11"/>
        <v>0.32245203773978592</v>
      </c>
      <c r="O14" s="75">
        <f>IF(N14&lt;=1,1,0)</f>
        <v>1</v>
      </c>
      <c r="P14" s="76"/>
      <c r="Q14" s="77">
        <f>O14+P14</f>
        <v>1</v>
      </c>
      <c r="R14" s="106">
        <v>19.5</v>
      </c>
      <c r="S14" s="104">
        <v>668671.30000000005</v>
      </c>
      <c r="T14" s="83">
        <v>153011.65</v>
      </c>
      <c r="U14" s="74">
        <f>R14/(S14-T14)</f>
        <v>3.7815640607133017E-5</v>
      </c>
      <c r="V14" s="75">
        <f>IF(U14&lt;=0.15,1,0)</f>
        <v>1</v>
      </c>
      <c r="W14" s="76"/>
      <c r="X14" s="77">
        <f>V14+W14</f>
        <v>1</v>
      </c>
      <c r="Y14" s="104">
        <f>C14</f>
        <v>8665.84</v>
      </c>
      <c r="Z14" s="86"/>
      <c r="AA14" s="86">
        <v>8665.84</v>
      </c>
      <c r="AB14" s="86"/>
      <c r="AC14" s="86">
        <f t="shared" si="4"/>
        <v>659927.30000000005</v>
      </c>
      <c r="AD14" s="86">
        <f t="shared" si="4"/>
        <v>545357.18999999994</v>
      </c>
      <c r="AE14" s="85">
        <f t="shared" si="4"/>
        <v>54096</v>
      </c>
      <c r="AF14" s="86">
        <f>AC14-AD14-AE14</f>
        <v>60474.110000000102</v>
      </c>
      <c r="AG14" s="86">
        <f>AF14*10%</f>
        <v>6047.411000000011</v>
      </c>
      <c r="AH14" s="86">
        <f t="shared" si="6"/>
        <v>14713.251000000011</v>
      </c>
      <c r="AI14" s="107">
        <f>IF((Y14-IF(Z14&gt;0,Z14,0)-IF(AA14&gt;0,AA14,0)-IF(AB14&gt;0,AB14,0))/(AC14-AD14-AE14)&gt;0,(Y14-IF(Z14&gt;0,Z14,0)-IF(AA14&gt;0,AA14,0)-IF(AB14&gt;0,AB14,0))/(AC14-AD14-AE14),0)</f>
        <v>0</v>
      </c>
      <c r="AJ14" s="88">
        <f>IF(AI14&lt;=0.1,1.5,0)</f>
        <v>1.5</v>
      </c>
      <c r="AK14" s="76"/>
      <c r="AL14" s="77">
        <f>AJ14+AK14</f>
        <v>1.5</v>
      </c>
      <c r="AM14" s="108"/>
      <c r="AN14" s="76"/>
      <c r="AO14" s="87"/>
      <c r="AP14" s="92"/>
      <c r="AQ14" s="76"/>
      <c r="AR14" s="93"/>
      <c r="AS14" s="108"/>
      <c r="AT14" s="76"/>
      <c r="AU14" s="87"/>
      <c r="AV14" s="92"/>
      <c r="AW14" s="76"/>
      <c r="AX14" s="93"/>
      <c r="AY14" s="94"/>
      <c r="AZ14" s="95"/>
      <c r="BA14" s="88">
        <f>AZ14</f>
        <v>0</v>
      </c>
      <c r="BB14" s="96">
        <f t="shared" si="18"/>
        <v>4.5</v>
      </c>
    </row>
    <row r="15" spans="1:54" s="7" customFormat="1" ht="13" x14ac:dyDescent="0.3">
      <c r="A15" s="101" t="s">
        <v>62</v>
      </c>
      <c r="B15" s="104">
        <v>0</v>
      </c>
      <c r="C15" s="104">
        <v>16824.599999999999</v>
      </c>
      <c r="D15" s="104">
        <v>0</v>
      </c>
      <c r="E15" s="81">
        <f>IF(AND(B15=0,D15=0),0,B15/(IF(C15&gt;0,C15,0)+D15))</f>
        <v>0</v>
      </c>
      <c r="F15" s="75">
        <f>IF(E15&lt;=1.05,1,0)</f>
        <v>1</v>
      </c>
      <c r="G15" s="76"/>
      <c r="H15" s="77">
        <f>F15+G15</f>
        <v>1</v>
      </c>
      <c r="I15" s="78">
        <v>0</v>
      </c>
      <c r="J15" s="105">
        <v>607670.9</v>
      </c>
      <c r="K15" s="79">
        <v>470498.67</v>
      </c>
      <c r="L15" s="78">
        <v>93652</v>
      </c>
      <c r="M15" s="104">
        <v>0</v>
      </c>
      <c r="N15" s="81">
        <f>(I15)/(J15-K15-L15)</f>
        <v>0</v>
      </c>
      <c r="O15" s="75">
        <f>IF(N15&lt;=1,1,0)</f>
        <v>1</v>
      </c>
      <c r="P15" s="76"/>
      <c r="Q15" s="77">
        <f>O15+P15</f>
        <v>1</v>
      </c>
      <c r="R15" s="106">
        <v>0</v>
      </c>
      <c r="S15" s="104">
        <v>629011.19999999995</v>
      </c>
      <c r="T15" s="83">
        <v>205941.11</v>
      </c>
      <c r="U15" s="74">
        <f>R15/(S15-T15)</f>
        <v>0</v>
      </c>
      <c r="V15" s="75">
        <f>IF(U15&lt;=0.15,1,0)</f>
        <v>1</v>
      </c>
      <c r="W15" s="76"/>
      <c r="X15" s="77">
        <f>V15+W15</f>
        <v>1</v>
      </c>
      <c r="Y15" s="104">
        <f>C15</f>
        <v>16824.599999999999</v>
      </c>
      <c r="Z15" s="86"/>
      <c r="AA15" s="86">
        <v>20419.2</v>
      </c>
      <c r="AB15" s="86"/>
      <c r="AC15" s="86">
        <f t="shared" si="4"/>
        <v>607670.9</v>
      </c>
      <c r="AD15" s="86">
        <f t="shared" si="4"/>
        <v>470498.67</v>
      </c>
      <c r="AE15" s="85">
        <f t="shared" si="4"/>
        <v>93652</v>
      </c>
      <c r="AF15" s="86">
        <f>AC15-AD15-AE15</f>
        <v>43520.23000000004</v>
      </c>
      <c r="AG15" s="86">
        <f>AF15*10%</f>
        <v>4352.0230000000038</v>
      </c>
      <c r="AH15" s="86">
        <f t="shared" si="6"/>
        <v>24771.223000000005</v>
      </c>
      <c r="AI15" s="107">
        <f>IF((Y15-IF(Z15&gt;0,Z15,0)-IF(AA15&gt;0,AA15,0)-IF(AB15&gt;0,AB15,0))/(AC15-AD15-AE15)&gt;0,(Y15-IF(Z15&gt;0,Z15,0)-IF(AA15&gt;0,AA15,0)-IF(AB15&gt;0,AB15,0))/(AC15-AD15-AE15),0)</f>
        <v>0</v>
      </c>
      <c r="AJ15" s="88">
        <f>IF(AI15&lt;=0.1,1.5,0)</f>
        <v>1.5</v>
      </c>
      <c r="AK15" s="76"/>
      <c r="AL15" s="77">
        <f>AJ15+AK15</f>
        <v>1.5</v>
      </c>
      <c r="AM15" s="108"/>
      <c r="AN15" s="76"/>
      <c r="AO15" s="87"/>
      <c r="AP15" s="92"/>
      <c r="AQ15" s="76"/>
      <c r="AR15" s="93"/>
      <c r="AS15" s="108"/>
      <c r="AT15" s="76"/>
      <c r="AU15" s="87"/>
      <c r="AV15" s="92"/>
      <c r="AW15" s="76"/>
      <c r="AX15" s="93"/>
      <c r="AY15" s="94"/>
      <c r="AZ15" s="95"/>
      <c r="BA15" s="88">
        <f>AZ15</f>
        <v>0</v>
      </c>
      <c r="BB15" s="96">
        <f>H15+Q15+X15+AL15+BA15</f>
        <v>4.5</v>
      </c>
    </row>
    <row r="16" spans="1:54" s="7" customFormat="1" ht="13" x14ac:dyDescent="0.3">
      <c r="A16" s="101" t="s">
        <v>63</v>
      </c>
      <c r="B16" s="73">
        <v>0</v>
      </c>
      <c r="C16" s="73">
        <v>117904.49</v>
      </c>
      <c r="D16" s="73">
        <v>0</v>
      </c>
      <c r="E16" s="81">
        <f t="shared" si="9"/>
        <v>0</v>
      </c>
      <c r="F16" s="75">
        <f t="shared" si="10"/>
        <v>1</v>
      </c>
      <c r="G16" s="89"/>
      <c r="H16" s="90">
        <f t="shared" si="0"/>
        <v>1</v>
      </c>
      <c r="I16" s="78">
        <v>55000</v>
      </c>
      <c r="J16" s="78">
        <v>2592676.7999999998</v>
      </c>
      <c r="K16" s="79">
        <v>1945759.26</v>
      </c>
      <c r="L16" s="78">
        <v>323112</v>
      </c>
      <c r="M16" s="73">
        <v>0</v>
      </c>
      <c r="N16" s="81">
        <f t="shared" si="11"/>
        <v>0.16985503089292428</v>
      </c>
      <c r="O16" s="75">
        <f t="shared" si="1"/>
        <v>1</v>
      </c>
      <c r="P16" s="89"/>
      <c r="Q16" s="90">
        <f t="shared" si="2"/>
        <v>1</v>
      </c>
      <c r="R16" s="99">
        <v>55</v>
      </c>
      <c r="S16" s="73">
        <v>2740064.5</v>
      </c>
      <c r="T16" s="83">
        <v>980951.53</v>
      </c>
      <c r="U16" s="81">
        <f t="shared" si="12"/>
        <v>3.1265757764266841E-5</v>
      </c>
      <c r="V16" s="75">
        <f t="shared" si="3"/>
        <v>1</v>
      </c>
      <c r="W16" s="89"/>
      <c r="X16" s="90">
        <f t="shared" si="13"/>
        <v>1</v>
      </c>
      <c r="Y16" s="73">
        <f t="shared" si="14"/>
        <v>117904.49</v>
      </c>
      <c r="Z16" s="85"/>
      <c r="AA16" s="85">
        <v>117904.49</v>
      </c>
      <c r="AB16" s="85"/>
      <c r="AC16" s="85">
        <f t="shared" si="4"/>
        <v>2592676.7999999998</v>
      </c>
      <c r="AD16" s="85">
        <f t="shared" si="4"/>
        <v>1945759.26</v>
      </c>
      <c r="AE16" s="85">
        <f t="shared" si="4"/>
        <v>323112</v>
      </c>
      <c r="AF16" s="85">
        <f t="shared" si="15"/>
        <v>323805.5399999998</v>
      </c>
      <c r="AG16" s="86">
        <f t="shared" si="5"/>
        <v>32380.553999999982</v>
      </c>
      <c r="AH16" s="85">
        <f t="shared" si="6"/>
        <v>150285.04399999999</v>
      </c>
      <c r="AI16" s="100">
        <f t="shared" si="7"/>
        <v>0</v>
      </c>
      <c r="AJ16" s="88">
        <f t="shared" si="16"/>
        <v>1.5</v>
      </c>
      <c r="AK16" s="89"/>
      <c r="AL16" s="90">
        <f t="shared" si="8"/>
        <v>1.5</v>
      </c>
      <c r="AM16" s="91"/>
      <c r="AN16" s="89"/>
      <c r="AO16" s="100"/>
      <c r="AP16" s="92"/>
      <c r="AQ16" s="89"/>
      <c r="AR16" s="103"/>
      <c r="AS16" s="91"/>
      <c r="AT16" s="89"/>
      <c r="AU16" s="100"/>
      <c r="AV16" s="92"/>
      <c r="AW16" s="89"/>
      <c r="AX16" s="103"/>
      <c r="AY16" s="94"/>
      <c r="AZ16" s="95"/>
      <c r="BA16" s="88">
        <f t="shared" si="17"/>
        <v>0</v>
      </c>
      <c r="BB16" s="96">
        <f t="shared" si="18"/>
        <v>4.5</v>
      </c>
    </row>
    <row r="17" spans="1:54" s="7" customFormat="1" ht="13" x14ac:dyDescent="0.3">
      <c r="A17" s="101" t="s">
        <v>64</v>
      </c>
      <c r="B17" s="73">
        <v>0</v>
      </c>
      <c r="C17" s="73">
        <v>23126.42</v>
      </c>
      <c r="D17" s="73">
        <v>0</v>
      </c>
      <c r="E17" s="81">
        <f t="shared" si="9"/>
        <v>0</v>
      </c>
      <c r="F17" s="75">
        <f t="shared" si="10"/>
        <v>1</v>
      </c>
      <c r="G17" s="89"/>
      <c r="H17" s="90">
        <f t="shared" si="0"/>
        <v>1</v>
      </c>
      <c r="I17" s="78">
        <v>0</v>
      </c>
      <c r="J17" s="78">
        <v>626940.9</v>
      </c>
      <c r="K17" s="79">
        <v>437021.91</v>
      </c>
      <c r="L17" s="78">
        <v>62822</v>
      </c>
      <c r="M17" s="73">
        <v>0</v>
      </c>
      <c r="N17" s="81">
        <f t="shared" si="11"/>
        <v>0</v>
      </c>
      <c r="O17" s="75">
        <f>IF(N17&lt;=1,1,0)</f>
        <v>1</v>
      </c>
      <c r="P17" s="89"/>
      <c r="Q17" s="90">
        <f>O17+P17</f>
        <v>1</v>
      </c>
      <c r="R17" s="99">
        <v>0</v>
      </c>
      <c r="S17" s="73">
        <v>660448.1</v>
      </c>
      <c r="T17" s="83">
        <v>220493.77</v>
      </c>
      <c r="U17" s="81">
        <f t="shared" si="12"/>
        <v>0</v>
      </c>
      <c r="V17" s="75">
        <f>IF(U17&lt;=0.15,1,0)</f>
        <v>1</v>
      </c>
      <c r="W17" s="89"/>
      <c r="X17" s="90">
        <f t="shared" si="13"/>
        <v>1</v>
      </c>
      <c r="Y17" s="73">
        <f t="shared" si="14"/>
        <v>23126.42</v>
      </c>
      <c r="Z17" s="85"/>
      <c r="AA17" s="85">
        <v>23126.42</v>
      </c>
      <c r="AB17" s="85"/>
      <c r="AC17" s="85">
        <f t="shared" si="4"/>
        <v>626940.9</v>
      </c>
      <c r="AD17" s="85">
        <f t="shared" si="4"/>
        <v>437021.91</v>
      </c>
      <c r="AE17" s="85">
        <f t="shared" si="4"/>
        <v>62822</v>
      </c>
      <c r="AF17" s="85">
        <f t="shared" si="15"/>
        <v>127096.99000000005</v>
      </c>
      <c r="AG17" s="86">
        <f t="shared" si="5"/>
        <v>12709.699000000006</v>
      </c>
      <c r="AH17" s="85">
        <f t="shared" si="6"/>
        <v>35836.119000000006</v>
      </c>
      <c r="AI17" s="100">
        <f t="shared" si="7"/>
        <v>0</v>
      </c>
      <c r="AJ17" s="88">
        <f t="shared" si="16"/>
        <v>1.5</v>
      </c>
      <c r="AK17" s="89"/>
      <c r="AL17" s="90">
        <f t="shared" si="8"/>
        <v>1.5</v>
      </c>
      <c r="AM17" s="91"/>
      <c r="AN17" s="89"/>
      <c r="AO17" s="100"/>
      <c r="AP17" s="92"/>
      <c r="AQ17" s="89"/>
      <c r="AR17" s="103"/>
      <c r="AS17" s="91"/>
      <c r="AT17" s="89"/>
      <c r="AU17" s="100"/>
      <c r="AV17" s="92"/>
      <c r="AW17" s="89"/>
      <c r="AX17" s="103"/>
      <c r="AY17" s="94"/>
      <c r="AZ17" s="95"/>
      <c r="BA17" s="88">
        <f t="shared" si="17"/>
        <v>0</v>
      </c>
      <c r="BB17" s="96">
        <f t="shared" si="18"/>
        <v>4.5</v>
      </c>
    </row>
    <row r="18" spans="1:54" s="7" customFormat="1" ht="13" x14ac:dyDescent="0.3">
      <c r="A18" s="109" t="s">
        <v>65</v>
      </c>
      <c r="B18" s="110">
        <v>0</v>
      </c>
      <c r="C18" s="110">
        <v>15993.96</v>
      </c>
      <c r="D18" s="110">
        <v>0</v>
      </c>
      <c r="E18" s="111">
        <f>IF(AND(B18=0,D18=0),0,B18/(IF(C18&gt;0,C18,0)+D18))</f>
        <v>0</v>
      </c>
      <c r="F18" s="112"/>
      <c r="G18" s="113">
        <f>IF(E18&lt;=1.05,1,0)</f>
        <v>1</v>
      </c>
      <c r="H18" s="114">
        <f>F18+G18</f>
        <v>1</v>
      </c>
      <c r="I18" s="115">
        <v>0</v>
      </c>
      <c r="J18" s="115">
        <v>364714.8</v>
      </c>
      <c r="K18" s="116">
        <v>302677.89</v>
      </c>
      <c r="L18" s="115">
        <v>34628</v>
      </c>
      <c r="M18" s="110">
        <v>0</v>
      </c>
      <c r="N18" s="111">
        <f t="shared" si="11"/>
        <v>0</v>
      </c>
      <c r="O18" s="112"/>
      <c r="P18" s="113">
        <f>IF(N18&lt;=0.5,1,0)</f>
        <v>1</v>
      </c>
      <c r="Q18" s="114">
        <f>O18+P18</f>
        <v>1</v>
      </c>
      <c r="R18" s="117">
        <v>0</v>
      </c>
      <c r="S18" s="110">
        <v>386621.3</v>
      </c>
      <c r="T18" s="118">
        <v>152962.62</v>
      </c>
      <c r="U18" s="111">
        <f>R18/(S18-T18)</f>
        <v>0</v>
      </c>
      <c r="V18" s="112"/>
      <c r="W18" s="113">
        <f>IF(U18&lt;=0.15,1,0)</f>
        <v>1</v>
      </c>
      <c r="X18" s="114">
        <f>V18+W18</f>
        <v>1</v>
      </c>
      <c r="Y18" s="110">
        <f>C18</f>
        <v>15993.96</v>
      </c>
      <c r="Z18" s="119"/>
      <c r="AA18" s="119">
        <v>15993.96</v>
      </c>
      <c r="AB18" s="119"/>
      <c r="AC18" s="119">
        <f t="shared" si="4"/>
        <v>364714.8</v>
      </c>
      <c r="AD18" s="119">
        <f t="shared" si="4"/>
        <v>302677.89</v>
      </c>
      <c r="AE18" s="119">
        <f t="shared" si="4"/>
        <v>34628</v>
      </c>
      <c r="AF18" s="119">
        <f>AC18-AD18-AE18</f>
        <v>27408.909999999974</v>
      </c>
      <c r="AG18" s="119">
        <f>AF18*10%</f>
        <v>2740.8909999999978</v>
      </c>
      <c r="AH18" s="119">
        <f>IF(AA18&gt;0,AA18,0)+AG18+IF(AB18&gt;0,AB18,0)</f>
        <v>18734.850999999995</v>
      </c>
      <c r="AI18" s="120">
        <f>IF((Y18-IF(Z18&gt;0,Z18,0)-IF(AA18&gt;0,AA18,0)-IF(AB18&gt;0,AB18,0))/(AC18-AD18-AE18)&gt;0,(Y18-IF(Z18&gt;0,Z18,0)-IF(AA18&gt;0,AA18,0)-IF(AB18&gt;0,AB18,0))/(AC18-AD18-AE18),0)</f>
        <v>0</v>
      </c>
      <c r="AJ18" s="121"/>
      <c r="AK18" s="122">
        <f>IF(AI18&lt;=0.05,1.5,0)</f>
        <v>1.5</v>
      </c>
      <c r="AL18" s="114">
        <f>AJ18+AK18</f>
        <v>1.5</v>
      </c>
      <c r="AM18" s="123"/>
      <c r="AN18" s="113"/>
      <c r="AO18" s="120"/>
      <c r="AP18" s="121"/>
      <c r="AQ18" s="122"/>
      <c r="AR18" s="124"/>
      <c r="AS18" s="123"/>
      <c r="AT18" s="113"/>
      <c r="AU18" s="120"/>
      <c r="AV18" s="121"/>
      <c r="AW18" s="122"/>
      <c r="AX18" s="124"/>
      <c r="AY18" s="94"/>
      <c r="AZ18" s="95"/>
      <c r="BA18" s="88">
        <f>AZ18</f>
        <v>0</v>
      </c>
      <c r="BB18" s="96">
        <f t="shared" si="18"/>
        <v>4.5</v>
      </c>
    </row>
    <row r="19" spans="1:54" s="7" customFormat="1" ht="13" x14ac:dyDescent="0.3">
      <c r="A19" s="101" t="s">
        <v>66</v>
      </c>
      <c r="B19" s="73">
        <v>0</v>
      </c>
      <c r="C19" s="73">
        <v>8395.85</v>
      </c>
      <c r="D19" s="73">
        <v>0</v>
      </c>
      <c r="E19" s="81">
        <f>IF(AND(B19=0,D19=0),0,B19/(IF(C19&gt;0,C19,0)+D19))</f>
        <v>0</v>
      </c>
      <c r="F19" s="75">
        <f>IF(E19&lt;=1.05,1,0)</f>
        <v>1</v>
      </c>
      <c r="G19" s="89"/>
      <c r="H19" s="90">
        <f>F19+G19</f>
        <v>1</v>
      </c>
      <c r="I19" s="78">
        <v>0</v>
      </c>
      <c r="J19" s="78">
        <v>590465.19999999995</v>
      </c>
      <c r="K19" s="79">
        <v>458299.18</v>
      </c>
      <c r="L19" s="78">
        <v>82784</v>
      </c>
      <c r="M19" s="73">
        <v>0</v>
      </c>
      <c r="N19" s="81">
        <f>(I19)/(J19-K19-L19)</f>
        <v>0</v>
      </c>
      <c r="O19" s="75">
        <f>IF(N19&lt;=1,1,0)</f>
        <v>1</v>
      </c>
      <c r="P19" s="89"/>
      <c r="Q19" s="90">
        <f>O19+P19</f>
        <v>1</v>
      </c>
      <c r="R19" s="99">
        <v>0</v>
      </c>
      <c r="S19" s="73">
        <v>545460.80000000005</v>
      </c>
      <c r="T19" s="83">
        <v>278879.38</v>
      </c>
      <c r="U19" s="81">
        <f>R19/(S19-T19)</f>
        <v>0</v>
      </c>
      <c r="V19" s="75">
        <f>IF(U19&lt;=0.15,1,0)</f>
        <v>1</v>
      </c>
      <c r="W19" s="89"/>
      <c r="X19" s="90">
        <f>V19+W19</f>
        <v>1</v>
      </c>
      <c r="Y19" s="73">
        <f>C19</f>
        <v>8395.85</v>
      </c>
      <c r="Z19" s="85"/>
      <c r="AA19" s="85">
        <v>8395.85</v>
      </c>
      <c r="AB19" s="85"/>
      <c r="AC19" s="85">
        <f t="shared" si="4"/>
        <v>590465.19999999995</v>
      </c>
      <c r="AD19" s="85">
        <f t="shared" si="4"/>
        <v>458299.18</v>
      </c>
      <c r="AE19" s="85">
        <f t="shared" si="4"/>
        <v>82784</v>
      </c>
      <c r="AF19" s="85">
        <f>AC19-AD19-AE19</f>
        <v>49382.01999999996</v>
      </c>
      <c r="AG19" s="86">
        <f>AF19*10%</f>
        <v>4938.2019999999966</v>
      </c>
      <c r="AH19" s="85">
        <f>IF(AA19&gt;0,AA19,0)+AG19+IF(AB19&gt;0,AB19,0)</f>
        <v>13334.051999999996</v>
      </c>
      <c r="AI19" s="100">
        <f>IF((Y19-IF(Z19&gt;0,Z19,0)-IF(AA19&gt;0,AA19,0)-IF(AB19&gt;0,AB19,0))/(AC19-AD19-AE19)&gt;0,(Y19-IF(Z19&gt;0,Z19,0)-IF(AA19&gt;0,AA19,0)-IF(AB19&gt;0,AB19,0))/(AC19-AD19-AE19),0)</f>
        <v>0</v>
      </c>
      <c r="AJ19" s="88">
        <f>IF(AI19&lt;=0.1,1.5,0)</f>
        <v>1.5</v>
      </c>
      <c r="AK19" s="89"/>
      <c r="AL19" s="90">
        <f>AJ19+AK19</f>
        <v>1.5</v>
      </c>
      <c r="AM19" s="91"/>
      <c r="AN19" s="89"/>
      <c r="AO19" s="100"/>
      <c r="AP19" s="92"/>
      <c r="AQ19" s="89"/>
      <c r="AR19" s="103"/>
      <c r="AS19" s="91"/>
      <c r="AT19" s="89"/>
      <c r="AU19" s="100"/>
      <c r="AV19" s="92"/>
      <c r="AW19" s="89"/>
      <c r="AX19" s="103"/>
      <c r="AY19" s="94"/>
      <c r="AZ19" s="95"/>
      <c r="BA19" s="88">
        <f>AZ19</f>
        <v>0</v>
      </c>
      <c r="BB19" s="96">
        <f t="shared" si="18"/>
        <v>4.5</v>
      </c>
    </row>
    <row r="20" spans="1:54" ht="13" x14ac:dyDescent="0.3">
      <c r="A20" s="109" t="s">
        <v>67</v>
      </c>
      <c r="B20" s="110">
        <v>0</v>
      </c>
      <c r="C20" s="110">
        <v>21211.56</v>
      </c>
      <c r="D20" s="110">
        <v>0</v>
      </c>
      <c r="E20" s="111">
        <f>IF(AND(B20=0,D20=0),0,B20/(IF(C20&gt;0,C20,0)+D20))</f>
        <v>0</v>
      </c>
      <c r="F20" s="112"/>
      <c r="G20" s="113">
        <f>IF(E20&lt;=1.05,1,0)</f>
        <v>1</v>
      </c>
      <c r="H20" s="114">
        <f>F20+G20</f>
        <v>1</v>
      </c>
      <c r="I20" s="115">
        <v>24000</v>
      </c>
      <c r="J20" s="115">
        <v>1393050.4</v>
      </c>
      <c r="K20" s="116">
        <v>987178.11</v>
      </c>
      <c r="L20" s="115">
        <v>327703</v>
      </c>
      <c r="M20" s="110">
        <v>0</v>
      </c>
      <c r="N20" s="111">
        <f t="shared" si="11"/>
        <v>0.30702594330842742</v>
      </c>
      <c r="O20" s="112"/>
      <c r="P20" s="113">
        <f>IF(N20&lt;=0.5,1,0)</f>
        <v>1</v>
      </c>
      <c r="Q20" s="114">
        <f>O20+P20</f>
        <v>1</v>
      </c>
      <c r="R20" s="117">
        <v>24</v>
      </c>
      <c r="S20" s="110">
        <v>1431374.7</v>
      </c>
      <c r="T20" s="118">
        <v>633053.18000000005</v>
      </c>
      <c r="U20" s="111">
        <f>R20/(S20-T20)</f>
        <v>3.0063075338367431E-5</v>
      </c>
      <c r="V20" s="112"/>
      <c r="W20" s="113">
        <f>IF(U20&lt;=0.15,1,0)</f>
        <v>1</v>
      </c>
      <c r="X20" s="114">
        <f>V20+W20</f>
        <v>1</v>
      </c>
      <c r="Y20" s="110">
        <f>C20</f>
        <v>21211.56</v>
      </c>
      <c r="Z20" s="119"/>
      <c r="AA20" s="119">
        <v>21211.56</v>
      </c>
      <c r="AB20" s="119"/>
      <c r="AC20" s="119">
        <f t="shared" si="4"/>
        <v>1393050.4</v>
      </c>
      <c r="AD20" s="119">
        <f t="shared" si="4"/>
        <v>987178.11</v>
      </c>
      <c r="AE20" s="119">
        <f t="shared" si="4"/>
        <v>327703</v>
      </c>
      <c r="AF20" s="119">
        <f>AC20-AD20-AE20</f>
        <v>78169.289999999921</v>
      </c>
      <c r="AG20" s="119">
        <f>AF20*10%</f>
        <v>7816.9289999999928</v>
      </c>
      <c r="AH20" s="119">
        <f>IF(AA20&gt;0,AA20,0)+AG20+IF(AB20&gt;0,AB20,0)</f>
        <v>29028.488999999994</v>
      </c>
      <c r="AI20" s="120">
        <f>IF((Y20-IF(Z20&gt;0,Z20,0)-IF(AA20&gt;0,AA20,0)-IF(AB20&gt;0,AB20,0))/(AC20-AD20-AE20)&gt;0,(Y20-IF(Z20&gt;0,Z20,0)-IF(AA20&gt;0,AA20,0)-IF(AB20&gt;0,AB20,0))/(AC20-AD20-AE20),0)</f>
        <v>0</v>
      </c>
      <c r="AJ20" s="121"/>
      <c r="AK20" s="122">
        <f>IF(AI20&lt;=0.05,1.5,0)</f>
        <v>1.5</v>
      </c>
      <c r="AL20" s="114">
        <f>AJ20+AK20</f>
        <v>1.5</v>
      </c>
      <c r="AM20" s="123"/>
      <c r="AN20" s="113"/>
      <c r="AO20" s="120"/>
      <c r="AP20" s="121"/>
      <c r="AQ20" s="122"/>
      <c r="AR20" s="124"/>
      <c r="AS20" s="123"/>
      <c r="AT20" s="113"/>
      <c r="AU20" s="120"/>
      <c r="AV20" s="121"/>
      <c r="AW20" s="122"/>
      <c r="AX20" s="124"/>
      <c r="AY20" s="94"/>
      <c r="AZ20" s="95"/>
      <c r="BA20" s="88">
        <f>AZ20</f>
        <v>0</v>
      </c>
      <c r="BB20" s="96">
        <f t="shared" si="18"/>
        <v>4.5</v>
      </c>
    </row>
    <row r="21" spans="1:54" s="7" customFormat="1" ht="13" x14ac:dyDescent="0.3">
      <c r="A21" s="109" t="s">
        <v>68</v>
      </c>
      <c r="B21" s="110">
        <v>0</v>
      </c>
      <c r="C21" s="110">
        <v>3575.39</v>
      </c>
      <c r="D21" s="110">
        <v>0</v>
      </c>
      <c r="E21" s="111">
        <f t="shared" si="9"/>
        <v>0</v>
      </c>
      <c r="F21" s="112"/>
      <c r="G21" s="113">
        <f>IF(E21&lt;=1.05,1,0)</f>
        <v>1</v>
      </c>
      <c r="H21" s="114">
        <f t="shared" si="0"/>
        <v>1</v>
      </c>
      <c r="I21" s="115">
        <v>0</v>
      </c>
      <c r="J21" s="115">
        <v>434283.8</v>
      </c>
      <c r="K21" s="116">
        <v>348884.25</v>
      </c>
      <c r="L21" s="115">
        <v>40199</v>
      </c>
      <c r="M21" s="110">
        <v>0</v>
      </c>
      <c r="N21" s="111">
        <f t="shared" si="11"/>
        <v>0</v>
      </c>
      <c r="O21" s="112"/>
      <c r="P21" s="113">
        <f t="shared" ref="P21:P26" si="19">IF(N21&lt;=0.5,1,0)</f>
        <v>1</v>
      </c>
      <c r="Q21" s="114">
        <f t="shared" si="2"/>
        <v>1</v>
      </c>
      <c r="R21" s="117">
        <v>0</v>
      </c>
      <c r="S21" s="110">
        <v>446606.3</v>
      </c>
      <c r="T21" s="118">
        <v>115696.3</v>
      </c>
      <c r="U21" s="111">
        <f t="shared" si="12"/>
        <v>0</v>
      </c>
      <c r="V21" s="112"/>
      <c r="W21" s="113">
        <f>IF(U21&lt;=0.15,1,0)</f>
        <v>1</v>
      </c>
      <c r="X21" s="114">
        <f t="shared" si="13"/>
        <v>1</v>
      </c>
      <c r="Y21" s="110">
        <f t="shared" si="14"/>
        <v>3575.39</v>
      </c>
      <c r="Z21" s="119"/>
      <c r="AA21" s="119">
        <v>3575.39</v>
      </c>
      <c r="AB21" s="119"/>
      <c r="AC21" s="119">
        <f t="shared" si="4"/>
        <v>434283.8</v>
      </c>
      <c r="AD21" s="119">
        <f t="shared" si="4"/>
        <v>348884.25</v>
      </c>
      <c r="AE21" s="119">
        <f t="shared" si="4"/>
        <v>40199</v>
      </c>
      <c r="AF21" s="119">
        <f t="shared" si="15"/>
        <v>45200.549999999988</v>
      </c>
      <c r="AG21" s="119">
        <f>AF21*5%</f>
        <v>2260.0274999999997</v>
      </c>
      <c r="AH21" s="119">
        <f t="shared" si="6"/>
        <v>5835.4174999999996</v>
      </c>
      <c r="AI21" s="120">
        <f t="shared" si="7"/>
        <v>0</v>
      </c>
      <c r="AJ21" s="112"/>
      <c r="AK21" s="122">
        <f t="shared" ref="AK21:AK34" si="20">IF(AI21&lt;=0.05,1.5,0)</f>
        <v>1.5</v>
      </c>
      <c r="AL21" s="114">
        <f t="shared" si="8"/>
        <v>1.5</v>
      </c>
      <c r="AM21" s="123"/>
      <c r="AN21" s="113"/>
      <c r="AO21" s="120"/>
      <c r="AP21" s="112"/>
      <c r="AQ21" s="122"/>
      <c r="AR21" s="124"/>
      <c r="AS21" s="123"/>
      <c r="AT21" s="113"/>
      <c r="AU21" s="120"/>
      <c r="AV21" s="112"/>
      <c r="AW21" s="122"/>
      <c r="AX21" s="124"/>
      <c r="AY21" s="94"/>
      <c r="AZ21" s="95"/>
      <c r="BA21" s="88">
        <f t="shared" si="17"/>
        <v>0</v>
      </c>
      <c r="BB21" s="96">
        <f t="shared" si="18"/>
        <v>4.5</v>
      </c>
    </row>
    <row r="22" spans="1:54" s="7" customFormat="1" ht="13" x14ac:dyDescent="0.3">
      <c r="A22" s="101" t="s">
        <v>69</v>
      </c>
      <c r="B22" s="73">
        <v>0</v>
      </c>
      <c r="C22" s="73">
        <v>24775.94</v>
      </c>
      <c r="D22" s="73">
        <v>0</v>
      </c>
      <c r="E22" s="81">
        <f>IF(AND(B22=0,D22=0),0,B22/(IF(C22&gt;0,C22,0)+D22))</f>
        <v>0</v>
      </c>
      <c r="F22" s="75">
        <f>IF(E22&lt;=1.05,1,0)</f>
        <v>1</v>
      </c>
      <c r="G22" s="89"/>
      <c r="H22" s="90">
        <f>F22+G22</f>
        <v>1</v>
      </c>
      <c r="I22" s="78">
        <v>0</v>
      </c>
      <c r="J22" s="78">
        <v>936753.4</v>
      </c>
      <c r="K22" s="79">
        <v>630301.62</v>
      </c>
      <c r="L22" s="78">
        <v>143335</v>
      </c>
      <c r="M22" s="73">
        <v>0</v>
      </c>
      <c r="N22" s="81">
        <f t="shared" si="11"/>
        <v>0</v>
      </c>
      <c r="O22" s="75">
        <f>IF(N22&lt;=1,1,0)</f>
        <v>1</v>
      </c>
      <c r="P22" s="89"/>
      <c r="Q22" s="90">
        <f>O22+P22</f>
        <v>1</v>
      </c>
      <c r="R22" s="99">
        <v>0</v>
      </c>
      <c r="S22" s="73">
        <v>973009.3</v>
      </c>
      <c r="T22" s="83">
        <v>461277.02</v>
      </c>
      <c r="U22" s="81">
        <f>R22/(S22-T22)</f>
        <v>0</v>
      </c>
      <c r="V22" s="75">
        <f>IF(U22&lt;=0.15,1,0)</f>
        <v>1</v>
      </c>
      <c r="W22" s="89"/>
      <c r="X22" s="90">
        <f>V22+W22</f>
        <v>1</v>
      </c>
      <c r="Y22" s="73">
        <f>C22</f>
        <v>24775.94</v>
      </c>
      <c r="Z22" s="85"/>
      <c r="AA22" s="85">
        <v>24775.94</v>
      </c>
      <c r="AB22" s="85"/>
      <c r="AC22" s="85">
        <f>J22</f>
        <v>936753.4</v>
      </c>
      <c r="AD22" s="85">
        <f>K22</f>
        <v>630301.62</v>
      </c>
      <c r="AE22" s="85">
        <f>L22</f>
        <v>143335</v>
      </c>
      <c r="AF22" s="85">
        <f>AC22-AD22-AE22</f>
        <v>163116.78000000003</v>
      </c>
      <c r="AG22" s="86">
        <f>AF22*10%</f>
        <v>16311.678000000004</v>
      </c>
      <c r="AH22" s="85">
        <f>IF(AA22&gt;0,AA22,0)+AG22+IF(AB22&gt;0,AB22,0)</f>
        <v>41087.618000000002</v>
      </c>
      <c r="AI22" s="100">
        <f>IF((Y22-IF(Z22&gt;0,Z22,0)-IF(AA22&gt;0,AA22,0)-IF(AB22&gt;0,AB22,0))/(AC22-AD22-AE22)&gt;0,(Y22-IF(Z22&gt;0,Z22,0)-IF(AA22&gt;0,AA22,0)-IF(AB22&gt;0,AB22,0))/(AC22-AD22-AE22),0)</f>
        <v>0</v>
      </c>
      <c r="AJ22" s="88">
        <f>IF(AI22&lt;=0.1,1.5,0)</f>
        <v>1.5</v>
      </c>
      <c r="AK22" s="89"/>
      <c r="AL22" s="90">
        <f>AJ22+AK22</f>
        <v>1.5</v>
      </c>
      <c r="AM22" s="91"/>
      <c r="AN22" s="89"/>
      <c r="AO22" s="100"/>
      <c r="AP22" s="92"/>
      <c r="AQ22" s="89"/>
      <c r="AR22" s="103"/>
      <c r="AS22" s="91"/>
      <c r="AT22" s="89"/>
      <c r="AU22" s="100"/>
      <c r="AV22" s="92"/>
      <c r="AW22" s="89"/>
      <c r="AX22" s="103"/>
      <c r="AY22" s="94"/>
      <c r="AZ22" s="95"/>
      <c r="BA22" s="88">
        <f>AZ22</f>
        <v>0</v>
      </c>
      <c r="BB22" s="96">
        <f t="shared" si="18"/>
        <v>4.5</v>
      </c>
    </row>
    <row r="23" spans="1:54" s="7" customFormat="1" ht="13" x14ac:dyDescent="0.3">
      <c r="A23" s="109" t="s">
        <v>70</v>
      </c>
      <c r="B23" s="110">
        <v>0</v>
      </c>
      <c r="C23" s="110">
        <v>22762.25</v>
      </c>
      <c r="D23" s="110">
        <v>0</v>
      </c>
      <c r="E23" s="111">
        <f t="shared" si="9"/>
        <v>0</v>
      </c>
      <c r="F23" s="112"/>
      <c r="G23" s="113">
        <f>IF(E23&lt;=1.05,1,0)</f>
        <v>1</v>
      </c>
      <c r="H23" s="114">
        <f t="shared" si="0"/>
        <v>1</v>
      </c>
      <c r="I23" s="115">
        <v>0</v>
      </c>
      <c r="J23" s="115">
        <v>477423.4</v>
      </c>
      <c r="K23" s="116">
        <v>409571.57</v>
      </c>
      <c r="L23" s="115">
        <v>55147</v>
      </c>
      <c r="M23" s="110">
        <v>0</v>
      </c>
      <c r="N23" s="111">
        <f t="shared" si="11"/>
        <v>0</v>
      </c>
      <c r="O23" s="112"/>
      <c r="P23" s="113">
        <f t="shared" si="19"/>
        <v>1</v>
      </c>
      <c r="Q23" s="114">
        <f t="shared" si="2"/>
        <v>1</v>
      </c>
      <c r="R23" s="117">
        <v>0</v>
      </c>
      <c r="S23" s="110">
        <v>508050.2</v>
      </c>
      <c r="T23" s="118">
        <v>153988.66</v>
      </c>
      <c r="U23" s="111">
        <f t="shared" si="12"/>
        <v>0</v>
      </c>
      <c r="V23" s="112"/>
      <c r="W23" s="113">
        <f>IF(U23&lt;=0.15,1,0)</f>
        <v>1</v>
      </c>
      <c r="X23" s="114">
        <f t="shared" si="13"/>
        <v>1</v>
      </c>
      <c r="Y23" s="110">
        <f t="shared" si="14"/>
        <v>22762.25</v>
      </c>
      <c r="Z23" s="119"/>
      <c r="AA23" s="119">
        <v>22762.25</v>
      </c>
      <c r="AB23" s="119"/>
      <c r="AC23" s="119">
        <f t="shared" si="4"/>
        <v>477423.4</v>
      </c>
      <c r="AD23" s="119">
        <f t="shared" si="4"/>
        <v>409571.57</v>
      </c>
      <c r="AE23" s="119">
        <f t="shared" si="4"/>
        <v>55147</v>
      </c>
      <c r="AF23" s="119">
        <f t="shared" si="15"/>
        <v>12704.830000000016</v>
      </c>
      <c r="AG23" s="119">
        <f>AF23*5%</f>
        <v>635.24150000000088</v>
      </c>
      <c r="AH23" s="119">
        <f t="shared" si="6"/>
        <v>23397.4915</v>
      </c>
      <c r="AI23" s="120">
        <f t="shared" si="7"/>
        <v>0</v>
      </c>
      <c r="AJ23" s="112"/>
      <c r="AK23" s="122">
        <f t="shared" si="20"/>
        <v>1.5</v>
      </c>
      <c r="AL23" s="114">
        <f t="shared" si="8"/>
        <v>1.5</v>
      </c>
      <c r="AM23" s="123"/>
      <c r="AN23" s="113"/>
      <c r="AO23" s="120"/>
      <c r="AP23" s="112"/>
      <c r="AQ23" s="122"/>
      <c r="AR23" s="124"/>
      <c r="AS23" s="123"/>
      <c r="AT23" s="113"/>
      <c r="AU23" s="120"/>
      <c r="AV23" s="112"/>
      <c r="AW23" s="122"/>
      <c r="AX23" s="124"/>
      <c r="AY23" s="94"/>
      <c r="AZ23" s="95"/>
      <c r="BA23" s="88">
        <f t="shared" si="17"/>
        <v>0</v>
      </c>
      <c r="BB23" s="96">
        <f t="shared" si="18"/>
        <v>4.5</v>
      </c>
    </row>
    <row r="24" spans="1:54" s="7" customFormat="1" ht="13" x14ac:dyDescent="0.3">
      <c r="A24" s="109" t="s">
        <v>71</v>
      </c>
      <c r="B24" s="110">
        <v>0</v>
      </c>
      <c r="C24" s="110">
        <v>89678.1</v>
      </c>
      <c r="D24" s="110">
        <v>0</v>
      </c>
      <c r="E24" s="111">
        <f t="shared" si="9"/>
        <v>0</v>
      </c>
      <c r="F24" s="112"/>
      <c r="G24" s="113">
        <f>IF(E24&lt;=1.05,1,0)</f>
        <v>1</v>
      </c>
      <c r="H24" s="114">
        <f t="shared" si="0"/>
        <v>1</v>
      </c>
      <c r="I24" s="115">
        <v>0</v>
      </c>
      <c r="J24" s="115">
        <v>848371.4</v>
      </c>
      <c r="K24" s="116">
        <v>570301.01</v>
      </c>
      <c r="L24" s="115">
        <v>195950</v>
      </c>
      <c r="M24" s="110">
        <v>0</v>
      </c>
      <c r="N24" s="111">
        <f t="shared" si="11"/>
        <v>0</v>
      </c>
      <c r="O24" s="112"/>
      <c r="P24" s="113">
        <f t="shared" si="19"/>
        <v>1</v>
      </c>
      <c r="Q24" s="114">
        <f t="shared" si="2"/>
        <v>1</v>
      </c>
      <c r="R24" s="117">
        <v>0</v>
      </c>
      <c r="S24" s="110">
        <v>951661.3</v>
      </c>
      <c r="T24" s="118">
        <v>356253.67</v>
      </c>
      <c r="U24" s="111">
        <f t="shared" si="12"/>
        <v>0</v>
      </c>
      <c r="V24" s="112"/>
      <c r="W24" s="113">
        <f>IF(U24&lt;=0.15,1,0)</f>
        <v>1</v>
      </c>
      <c r="X24" s="114">
        <f t="shared" si="13"/>
        <v>1</v>
      </c>
      <c r="Y24" s="110">
        <f t="shared" si="14"/>
        <v>89678.1</v>
      </c>
      <c r="Z24" s="119"/>
      <c r="AA24" s="119">
        <v>89678.1</v>
      </c>
      <c r="AB24" s="119"/>
      <c r="AC24" s="119">
        <f t="shared" si="4"/>
        <v>848371.4</v>
      </c>
      <c r="AD24" s="119">
        <f t="shared" si="4"/>
        <v>570301.01</v>
      </c>
      <c r="AE24" s="119">
        <f t="shared" si="4"/>
        <v>195950</v>
      </c>
      <c r="AF24" s="119">
        <f t="shared" si="15"/>
        <v>82120.390000000014</v>
      </c>
      <c r="AG24" s="119">
        <f>AF24*10%</f>
        <v>8212.0390000000025</v>
      </c>
      <c r="AH24" s="119">
        <f t="shared" si="6"/>
        <v>97890.13900000001</v>
      </c>
      <c r="AI24" s="120">
        <f t="shared" si="7"/>
        <v>0</v>
      </c>
      <c r="AJ24" s="121"/>
      <c r="AK24" s="122">
        <f t="shared" si="20"/>
        <v>1.5</v>
      </c>
      <c r="AL24" s="114">
        <f t="shared" si="8"/>
        <v>1.5</v>
      </c>
      <c r="AM24" s="123"/>
      <c r="AN24" s="113"/>
      <c r="AO24" s="120"/>
      <c r="AP24" s="121"/>
      <c r="AQ24" s="122"/>
      <c r="AR24" s="124"/>
      <c r="AS24" s="123"/>
      <c r="AT24" s="113"/>
      <c r="AU24" s="120"/>
      <c r="AV24" s="121"/>
      <c r="AW24" s="122"/>
      <c r="AX24" s="124"/>
      <c r="AY24" s="94"/>
      <c r="AZ24" s="95"/>
      <c r="BA24" s="88">
        <f t="shared" si="17"/>
        <v>0</v>
      </c>
      <c r="BB24" s="96">
        <f t="shared" si="18"/>
        <v>4.5</v>
      </c>
    </row>
    <row r="25" spans="1:54" s="7" customFormat="1" ht="13" x14ac:dyDescent="0.3">
      <c r="A25" s="109" t="s">
        <v>72</v>
      </c>
      <c r="B25" s="110">
        <v>0</v>
      </c>
      <c r="C25" s="110">
        <v>35635.4</v>
      </c>
      <c r="D25" s="110">
        <v>0</v>
      </c>
      <c r="E25" s="111">
        <f t="shared" si="9"/>
        <v>0</v>
      </c>
      <c r="F25" s="112"/>
      <c r="G25" s="113">
        <f>IF(E25&lt;=1.05,1,0)</f>
        <v>1</v>
      </c>
      <c r="H25" s="114">
        <f t="shared" si="0"/>
        <v>1</v>
      </c>
      <c r="I25" s="115">
        <v>0</v>
      </c>
      <c r="J25" s="115">
        <v>629590.5</v>
      </c>
      <c r="K25" s="116">
        <v>532953.12</v>
      </c>
      <c r="L25" s="115">
        <v>72847</v>
      </c>
      <c r="M25" s="110">
        <v>0</v>
      </c>
      <c r="N25" s="111">
        <f t="shared" si="11"/>
        <v>0</v>
      </c>
      <c r="O25" s="112"/>
      <c r="P25" s="113">
        <f t="shared" si="19"/>
        <v>1</v>
      </c>
      <c r="Q25" s="114">
        <f t="shared" si="2"/>
        <v>1</v>
      </c>
      <c r="R25" s="117">
        <v>0</v>
      </c>
      <c r="S25" s="110">
        <v>665408.19999999995</v>
      </c>
      <c r="T25" s="118">
        <v>154876.85</v>
      </c>
      <c r="U25" s="111">
        <f t="shared" si="12"/>
        <v>0</v>
      </c>
      <c r="V25" s="112"/>
      <c r="W25" s="113">
        <f>IF(U25&lt;=0.15,1,0)</f>
        <v>1</v>
      </c>
      <c r="X25" s="114">
        <f t="shared" si="13"/>
        <v>1</v>
      </c>
      <c r="Y25" s="110">
        <f t="shared" si="14"/>
        <v>35635.4</v>
      </c>
      <c r="Z25" s="119"/>
      <c r="AA25" s="119">
        <v>35635.4</v>
      </c>
      <c r="AB25" s="119"/>
      <c r="AC25" s="119">
        <f t="shared" si="4"/>
        <v>629590.5</v>
      </c>
      <c r="AD25" s="119">
        <f t="shared" si="4"/>
        <v>532953.12</v>
      </c>
      <c r="AE25" s="119">
        <f t="shared" si="4"/>
        <v>72847</v>
      </c>
      <c r="AF25" s="119">
        <f t="shared" si="15"/>
        <v>23790.380000000005</v>
      </c>
      <c r="AG25" s="119">
        <f t="shared" ref="AG25:AG32" si="21">AF25*5%</f>
        <v>1189.5190000000002</v>
      </c>
      <c r="AH25" s="119">
        <f t="shared" si="6"/>
        <v>36824.919000000002</v>
      </c>
      <c r="AI25" s="120">
        <f t="shared" si="7"/>
        <v>0</v>
      </c>
      <c r="AJ25" s="121"/>
      <c r="AK25" s="122">
        <f t="shared" si="20"/>
        <v>1.5</v>
      </c>
      <c r="AL25" s="114">
        <f t="shared" si="8"/>
        <v>1.5</v>
      </c>
      <c r="AM25" s="123"/>
      <c r="AN25" s="113"/>
      <c r="AO25" s="120"/>
      <c r="AP25" s="121"/>
      <c r="AQ25" s="122"/>
      <c r="AR25" s="124"/>
      <c r="AS25" s="123"/>
      <c r="AT25" s="113"/>
      <c r="AU25" s="120"/>
      <c r="AV25" s="121"/>
      <c r="AW25" s="122"/>
      <c r="AX25" s="124"/>
      <c r="AY25" s="94"/>
      <c r="AZ25" s="95"/>
      <c r="BA25" s="88">
        <f t="shared" si="17"/>
        <v>0</v>
      </c>
      <c r="BB25" s="96">
        <f t="shared" si="18"/>
        <v>4.5</v>
      </c>
    </row>
    <row r="26" spans="1:54" s="7" customFormat="1" ht="13" x14ac:dyDescent="0.3">
      <c r="A26" s="109" t="s">
        <v>73</v>
      </c>
      <c r="B26" s="110">
        <v>0</v>
      </c>
      <c r="C26" s="110">
        <v>29743.08</v>
      </c>
      <c r="D26" s="110">
        <v>0</v>
      </c>
      <c r="E26" s="111">
        <f t="shared" si="9"/>
        <v>0</v>
      </c>
      <c r="F26" s="112"/>
      <c r="G26" s="113">
        <f t="shared" ref="G26:G34" si="22">IF(E26&lt;=1.05,1,0)</f>
        <v>1</v>
      </c>
      <c r="H26" s="114">
        <f t="shared" si="0"/>
        <v>1</v>
      </c>
      <c r="I26" s="115">
        <v>0</v>
      </c>
      <c r="J26" s="115">
        <v>855811.9</v>
      </c>
      <c r="K26" s="116">
        <v>600035.47</v>
      </c>
      <c r="L26" s="115">
        <v>176684</v>
      </c>
      <c r="M26" s="110">
        <v>0</v>
      </c>
      <c r="N26" s="111">
        <f t="shared" si="11"/>
        <v>0</v>
      </c>
      <c r="O26" s="112"/>
      <c r="P26" s="113">
        <f t="shared" si="19"/>
        <v>1</v>
      </c>
      <c r="Q26" s="114">
        <f>O26+P26</f>
        <v>1</v>
      </c>
      <c r="R26" s="117">
        <v>0</v>
      </c>
      <c r="S26" s="110">
        <v>893561.2</v>
      </c>
      <c r="T26" s="118">
        <v>349700.36</v>
      </c>
      <c r="U26" s="111">
        <f t="shared" si="12"/>
        <v>0</v>
      </c>
      <c r="V26" s="112"/>
      <c r="W26" s="113">
        <f t="shared" ref="W26:W34" si="23">IF(U26&lt;=0.15,1,0)</f>
        <v>1</v>
      </c>
      <c r="X26" s="114">
        <f t="shared" si="13"/>
        <v>1</v>
      </c>
      <c r="Y26" s="110">
        <f t="shared" si="14"/>
        <v>29743.08</v>
      </c>
      <c r="Z26" s="119"/>
      <c r="AA26" s="119">
        <v>29743.08</v>
      </c>
      <c r="AB26" s="119"/>
      <c r="AC26" s="119">
        <f t="shared" si="4"/>
        <v>855811.9</v>
      </c>
      <c r="AD26" s="119">
        <f t="shared" si="4"/>
        <v>600035.47</v>
      </c>
      <c r="AE26" s="119">
        <f t="shared" si="4"/>
        <v>176684</v>
      </c>
      <c r="AF26" s="119">
        <f t="shared" si="15"/>
        <v>79092.430000000051</v>
      </c>
      <c r="AG26" s="119">
        <f>AF26*10%</f>
        <v>7909.2430000000058</v>
      </c>
      <c r="AH26" s="119">
        <f t="shared" si="6"/>
        <v>37652.323000000004</v>
      </c>
      <c r="AI26" s="120">
        <f t="shared" si="7"/>
        <v>0</v>
      </c>
      <c r="AJ26" s="121"/>
      <c r="AK26" s="122">
        <f t="shared" si="20"/>
        <v>1.5</v>
      </c>
      <c r="AL26" s="114">
        <f t="shared" si="8"/>
        <v>1.5</v>
      </c>
      <c r="AM26" s="123"/>
      <c r="AN26" s="113"/>
      <c r="AO26" s="120"/>
      <c r="AP26" s="121"/>
      <c r="AQ26" s="122"/>
      <c r="AR26" s="124"/>
      <c r="AS26" s="123"/>
      <c r="AT26" s="113"/>
      <c r="AU26" s="120"/>
      <c r="AV26" s="121"/>
      <c r="AW26" s="122"/>
      <c r="AX26" s="124"/>
      <c r="AY26" s="94"/>
      <c r="AZ26" s="95"/>
      <c r="BA26" s="88">
        <f t="shared" si="17"/>
        <v>0</v>
      </c>
      <c r="BB26" s="96">
        <f t="shared" si="18"/>
        <v>4.5</v>
      </c>
    </row>
    <row r="27" spans="1:54" s="7" customFormat="1" ht="13" x14ac:dyDescent="0.3">
      <c r="A27" s="101" t="s">
        <v>74</v>
      </c>
      <c r="B27" s="104">
        <v>0</v>
      </c>
      <c r="C27" s="104">
        <v>15873.06</v>
      </c>
      <c r="D27" s="104">
        <v>0</v>
      </c>
      <c r="E27" s="81">
        <f>IF(AND(B27=0,D27=0),0,B27/(IF(C27&gt;0,C27,0)+D27))</f>
        <v>0</v>
      </c>
      <c r="F27" s="75">
        <f>IF(E27&lt;=1.05,1,0)</f>
        <v>1</v>
      </c>
      <c r="G27" s="76"/>
      <c r="H27" s="77">
        <f>F27+G27</f>
        <v>1</v>
      </c>
      <c r="I27" s="78">
        <v>0</v>
      </c>
      <c r="J27" s="105">
        <v>547073.19999999995</v>
      </c>
      <c r="K27" s="79">
        <v>406582.8</v>
      </c>
      <c r="L27" s="78">
        <v>81171</v>
      </c>
      <c r="M27" s="104">
        <v>0</v>
      </c>
      <c r="N27" s="81">
        <f>(I27)/(J27-K27-L27)</f>
        <v>0</v>
      </c>
      <c r="O27" s="75">
        <f>IF(N27&lt;=1,1,0)</f>
        <v>1</v>
      </c>
      <c r="P27" s="76"/>
      <c r="Q27" s="77">
        <f>O27+P27</f>
        <v>1</v>
      </c>
      <c r="R27" s="106">
        <v>0</v>
      </c>
      <c r="S27" s="104">
        <v>578828.69999999995</v>
      </c>
      <c r="T27" s="83">
        <v>267395.32</v>
      </c>
      <c r="U27" s="74">
        <f>R27/(S27-T27)</f>
        <v>0</v>
      </c>
      <c r="V27" s="75">
        <f>IF(U27&lt;=0.15,1,0)</f>
        <v>1</v>
      </c>
      <c r="W27" s="76"/>
      <c r="X27" s="77">
        <f>V27+W27</f>
        <v>1</v>
      </c>
      <c r="Y27" s="104">
        <f>C27</f>
        <v>15873.06</v>
      </c>
      <c r="Z27" s="86"/>
      <c r="AA27" s="86">
        <v>15873.06</v>
      </c>
      <c r="AB27" s="86"/>
      <c r="AC27" s="86">
        <f>J27</f>
        <v>547073.19999999995</v>
      </c>
      <c r="AD27" s="86">
        <f>K27</f>
        <v>406582.8</v>
      </c>
      <c r="AE27" s="85">
        <f>L27</f>
        <v>81171</v>
      </c>
      <c r="AF27" s="86">
        <f>AC27-AD27-AE27</f>
        <v>59319.399999999965</v>
      </c>
      <c r="AG27" s="86">
        <f>AF27*10%</f>
        <v>5931.9399999999969</v>
      </c>
      <c r="AH27" s="86">
        <f>IF(AA27&gt;0,AA27,0)+AG27+IF(AB27&gt;0,AB27,0)</f>
        <v>21804.999999999996</v>
      </c>
      <c r="AI27" s="107">
        <f>IF((Y27-IF(Z27&gt;0,Z27,0)-IF(AA27&gt;0,AA27,0)-IF(AB27&gt;0,AB27,0))/(AC27-AD27-AE27)&gt;0,(Y27-IF(Z27&gt;0,Z27,0)-IF(AA27&gt;0,AA27,0)-IF(AB27&gt;0,AB27,0))/(AC27-AD27-AE27),0)</f>
        <v>0</v>
      </c>
      <c r="AJ27" s="88">
        <f>IF(AI27&lt;=0.1,1.5,0)</f>
        <v>1.5</v>
      </c>
      <c r="AK27" s="76"/>
      <c r="AL27" s="77">
        <f>AJ27+AK27</f>
        <v>1.5</v>
      </c>
      <c r="AM27" s="108"/>
      <c r="AN27" s="76"/>
      <c r="AO27" s="87"/>
      <c r="AP27" s="92"/>
      <c r="AQ27" s="76"/>
      <c r="AR27" s="93"/>
      <c r="AS27" s="108"/>
      <c r="AT27" s="76"/>
      <c r="AU27" s="87"/>
      <c r="AV27" s="92"/>
      <c r="AW27" s="76"/>
      <c r="AX27" s="93"/>
      <c r="AY27" s="94"/>
      <c r="AZ27" s="95"/>
      <c r="BA27" s="88">
        <f>AZ27</f>
        <v>0</v>
      </c>
      <c r="BB27" s="96">
        <f>H27+Q27+X27+AL27+BA27</f>
        <v>4.5</v>
      </c>
    </row>
    <row r="28" spans="1:54" s="7" customFormat="1" ht="13" x14ac:dyDescent="0.3">
      <c r="A28" s="109" t="s">
        <v>75</v>
      </c>
      <c r="B28" s="110">
        <v>0</v>
      </c>
      <c r="C28" s="110">
        <v>32676.73</v>
      </c>
      <c r="D28" s="110">
        <v>0</v>
      </c>
      <c r="E28" s="111">
        <f t="shared" si="9"/>
        <v>0</v>
      </c>
      <c r="F28" s="112"/>
      <c r="G28" s="113">
        <f t="shared" si="22"/>
        <v>1</v>
      </c>
      <c r="H28" s="114">
        <f t="shared" si="0"/>
        <v>1</v>
      </c>
      <c r="I28" s="115">
        <v>0</v>
      </c>
      <c r="J28" s="115">
        <v>508785.8</v>
      </c>
      <c r="K28" s="116">
        <v>328089.52</v>
      </c>
      <c r="L28" s="115">
        <v>108486</v>
      </c>
      <c r="M28" s="110">
        <v>0</v>
      </c>
      <c r="N28" s="111">
        <f t="shared" si="11"/>
        <v>0</v>
      </c>
      <c r="O28" s="112"/>
      <c r="P28" s="113">
        <f t="shared" ref="P28:P34" si="24">IF(N28&lt;=0.5,1,0)</f>
        <v>1</v>
      </c>
      <c r="Q28" s="114">
        <f t="shared" si="2"/>
        <v>1</v>
      </c>
      <c r="R28" s="117">
        <v>0</v>
      </c>
      <c r="S28" s="110">
        <v>542973</v>
      </c>
      <c r="T28" s="118">
        <v>167020.22</v>
      </c>
      <c r="U28" s="111">
        <f t="shared" si="12"/>
        <v>0</v>
      </c>
      <c r="V28" s="112"/>
      <c r="W28" s="113">
        <f t="shared" si="23"/>
        <v>1</v>
      </c>
      <c r="X28" s="114">
        <f t="shared" si="13"/>
        <v>1</v>
      </c>
      <c r="Y28" s="110">
        <f t="shared" si="14"/>
        <v>32676.73</v>
      </c>
      <c r="Z28" s="119"/>
      <c r="AA28" s="119">
        <v>32676.73</v>
      </c>
      <c r="AB28" s="119"/>
      <c r="AC28" s="119">
        <f t="shared" si="4"/>
        <v>508785.8</v>
      </c>
      <c r="AD28" s="119">
        <f t="shared" si="4"/>
        <v>328089.52</v>
      </c>
      <c r="AE28" s="119">
        <f t="shared" si="4"/>
        <v>108486</v>
      </c>
      <c r="AF28" s="119">
        <f t="shared" si="15"/>
        <v>72210.27999999997</v>
      </c>
      <c r="AG28" s="119">
        <f t="shared" si="21"/>
        <v>3610.5139999999988</v>
      </c>
      <c r="AH28" s="119">
        <f t="shared" si="6"/>
        <v>36287.243999999999</v>
      </c>
      <c r="AI28" s="120">
        <f t="shared" si="7"/>
        <v>0</v>
      </c>
      <c r="AJ28" s="112"/>
      <c r="AK28" s="122">
        <f t="shared" si="20"/>
        <v>1.5</v>
      </c>
      <c r="AL28" s="114">
        <f t="shared" si="8"/>
        <v>1.5</v>
      </c>
      <c r="AM28" s="123"/>
      <c r="AN28" s="113"/>
      <c r="AO28" s="120"/>
      <c r="AP28" s="112"/>
      <c r="AQ28" s="122"/>
      <c r="AR28" s="124"/>
      <c r="AS28" s="123"/>
      <c r="AT28" s="113"/>
      <c r="AU28" s="120"/>
      <c r="AV28" s="112"/>
      <c r="AW28" s="122"/>
      <c r="AX28" s="124"/>
      <c r="AY28" s="94"/>
      <c r="AZ28" s="95"/>
      <c r="BA28" s="88">
        <f t="shared" si="17"/>
        <v>0</v>
      </c>
      <c r="BB28" s="96">
        <f t="shared" si="18"/>
        <v>4.5</v>
      </c>
    </row>
    <row r="29" spans="1:54" s="7" customFormat="1" ht="13" x14ac:dyDescent="0.3">
      <c r="A29" s="101" t="s">
        <v>76</v>
      </c>
      <c r="B29" s="104">
        <v>0</v>
      </c>
      <c r="C29" s="104">
        <v>5735.62</v>
      </c>
      <c r="D29" s="104">
        <v>0</v>
      </c>
      <c r="E29" s="81">
        <f>IF(AND(B29=0,D29=0),0,B29/(IF(C29&gt;0,C29,0)+D29))</f>
        <v>0</v>
      </c>
      <c r="F29" s="75">
        <f>IF(E29&lt;=1.05,1,0)</f>
        <v>1</v>
      </c>
      <c r="G29" s="76"/>
      <c r="H29" s="77">
        <f>F29+G29</f>
        <v>1</v>
      </c>
      <c r="I29" s="78">
        <v>0</v>
      </c>
      <c r="J29" s="105">
        <v>295172.40000000002</v>
      </c>
      <c r="K29" s="79">
        <v>222085.29</v>
      </c>
      <c r="L29" s="78">
        <v>45821</v>
      </c>
      <c r="M29" s="104">
        <v>0</v>
      </c>
      <c r="N29" s="81">
        <f>(I29)/(J29-K29-L29)</f>
        <v>0</v>
      </c>
      <c r="O29" s="75">
        <f>IF(N29&lt;=1,1,0)</f>
        <v>1</v>
      </c>
      <c r="P29" s="76"/>
      <c r="Q29" s="77">
        <f>O29+P29</f>
        <v>1</v>
      </c>
      <c r="R29" s="106">
        <v>0</v>
      </c>
      <c r="S29" s="104">
        <v>309983.2</v>
      </c>
      <c r="T29" s="83">
        <v>138706.85999999999</v>
      </c>
      <c r="U29" s="74">
        <f>R29/(S29-T29)</f>
        <v>0</v>
      </c>
      <c r="V29" s="75">
        <f>IF(U29&lt;=0.15,1,0)</f>
        <v>1</v>
      </c>
      <c r="W29" s="76"/>
      <c r="X29" s="77">
        <f>V29+W29</f>
        <v>1</v>
      </c>
      <c r="Y29" s="104">
        <f>C29</f>
        <v>5735.62</v>
      </c>
      <c r="Z29" s="86"/>
      <c r="AA29" s="86">
        <v>5735.62</v>
      </c>
      <c r="AB29" s="86"/>
      <c r="AC29" s="86">
        <f>J29</f>
        <v>295172.40000000002</v>
      </c>
      <c r="AD29" s="86">
        <f>K29</f>
        <v>222085.29</v>
      </c>
      <c r="AE29" s="85">
        <f>L29</f>
        <v>45821</v>
      </c>
      <c r="AF29" s="86">
        <f>AC29-AD29-AE29</f>
        <v>27266.110000000015</v>
      </c>
      <c r="AG29" s="86">
        <f>AF29*10%</f>
        <v>2726.6110000000017</v>
      </c>
      <c r="AH29" s="86">
        <f>IF(AA29&gt;0,AA29,0)+AG29+IF(AB29&gt;0,AB29,0)</f>
        <v>8462.2310000000016</v>
      </c>
      <c r="AI29" s="107">
        <f>IF((Y29-IF(Z29&gt;0,Z29,0)-IF(AA29&gt;0,AA29,0)-IF(AB29&gt;0,AB29,0))/(AC29-AD29-AE29)&gt;0,(Y29-IF(Z29&gt;0,Z29,0)-IF(AA29&gt;0,AA29,0)-IF(AB29&gt;0,AB29,0))/(AC29-AD29-AE29),0)</f>
        <v>0</v>
      </c>
      <c r="AJ29" s="88">
        <f>IF(AI29&lt;=0.1,1.5,0)</f>
        <v>1.5</v>
      </c>
      <c r="AK29" s="76"/>
      <c r="AL29" s="77">
        <f>AJ29+AK29</f>
        <v>1.5</v>
      </c>
      <c r="AM29" s="108"/>
      <c r="AN29" s="76"/>
      <c r="AO29" s="87"/>
      <c r="AP29" s="92"/>
      <c r="AQ29" s="76"/>
      <c r="AR29" s="93"/>
      <c r="AS29" s="108"/>
      <c r="AT29" s="76"/>
      <c r="AU29" s="87"/>
      <c r="AV29" s="92"/>
      <c r="AW29" s="76"/>
      <c r="AX29" s="93"/>
      <c r="AY29" s="94"/>
      <c r="AZ29" s="95"/>
      <c r="BA29" s="88">
        <f>AZ29</f>
        <v>0</v>
      </c>
      <c r="BB29" s="96">
        <f>H29+Q29+X29+AL29+BA29</f>
        <v>4.5</v>
      </c>
    </row>
    <row r="30" spans="1:54" s="7" customFormat="1" ht="13" x14ac:dyDescent="0.3">
      <c r="A30" s="109" t="s">
        <v>77</v>
      </c>
      <c r="B30" s="110">
        <v>0</v>
      </c>
      <c r="C30" s="110">
        <v>37214.71</v>
      </c>
      <c r="D30" s="110">
        <v>0</v>
      </c>
      <c r="E30" s="111">
        <f t="shared" si="9"/>
        <v>0</v>
      </c>
      <c r="F30" s="112"/>
      <c r="G30" s="113">
        <f t="shared" si="22"/>
        <v>1</v>
      </c>
      <c r="H30" s="114">
        <f t="shared" si="0"/>
        <v>1</v>
      </c>
      <c r="I30" s="115">
        <v>0</v>
      </c>
      <c r="J30" s="115">
        <v>552886.19999999995</v>
      </c>
      <c r="K30" s="116">
        <v>430519.42</v>
      </c>
      <c r="L30" s="115">
        <v>79836</v>
      </c>
      <c r="M30" s="110">
        <v>0</v>
      </c>
      <c r="N30" s="111">
        <f t="shared" si="11"/>
        <v>0</v>
      </c>
      <c r="O30" s="112"/>
      <c r="P30" s="113">
        <f t="shared" si="24"/>
        <v>1</v>
      </c>
      <c r="Q30" s="114">
        <f t="shared" si="2"/>
        <v>1</v>
      </c>
      <c r="R30" s="117">
        <v>0</v>
      </c>
      <c r="S30" s="110">
        <v>597027.5</v>
      </c>
      <c r="T30" s="118">
        <v>180564.24</v>
      </c>
      <c r="U30" s="111">
        <f t="shared" si="12"/>
        <v>0</v>
      </c>
      <c r="V30" s="112"/>
      <c r="W30" s="113">
        <f t="shared" si="23"/>
        <v>1</v>
      </c>
      <c r="X30" s="114">
        <f t="shared" si="13"/>
        <v>1</v>
      </c>
      <c r="Y30" s="110">
        <f t="shared" si="14"/>
        <v>37214.71</v>
      </c>
      <c r="Z30" s="119"/>
      <c r="AA30" s="119">
        <v>37214.71</v>
      </c>
      <c r="AB30" s="119"/>
      <c r="AC30" s="119">
        <f t="shared" si="4"/>
        <v>552886.19999999995</v>
      </c>
      <c r="AD30" s="119">
        <f t="shared" si="4"/>
        <v>430519.42</v>
      </c>
      <c r="AE30" s="119">
        <f t="shared" si="4"/>
        <v>79836</v>
      </c>
      <c r="AF30" s="119">
        <f t="shared" si="15"/>
        <v>42530.77999999997</v>
      </c>
      <c r="AG30" s="119">
        <f t="shared" si="21"/>
        <v>2126.5389999999984</v>
      </c>
      <c r="AH30" s="119">
        <f t="shared" si="6"/>
        <v>39341.248999999996</v>
      </c>
      <c r="AI30" s="120">
        <f t="shared" si="7"/>
        <v>0</v>
      </c>
      <c r="AJ30" s="112"/>
      <c r="AK30" s="122">
        <f t="shared" si="20"/>
        <v>1.5</v>
      </c>
      <c r="AL30" s="114">
        <f t="shared" si="8"/>
        <v>1.5</v>
      </c>
      <c r="AM30" s="123"/>
      <c r="AN30" s="113"/>
      <c r="AO30" s="120"/>
      <c r="AP30" s="112"/>
      <c r="AQ30" s="122"/>
      <c r="AR30" s="124"/>
      <c r="AS30" s="123"/>
      <c r="AT30" s="113"/>
      <c r="AU30" s="120"/>
      <c r="AV30" s="112"/>
      <c r="AW30" s="122"/>
      <c r="AX30" s="124"/>
      <c r="AY30" s="94"/>
      <c r="AZ30" s="95"/>
      <c r="BA30" s="88">
        <f t="shared" si="17"/>
        <v>0</v>
      </c>
      <c r="BB30" s="96">
        <f t="shared" si="18"/>
        <v>4.5</v>
      </c>
    </row>
    <row r="31" spans="1:54" s="7" customFormat="1" ht="13" x14ac:dyDescent="0.3">
      <c r="A31" s="101" t="s">
        <v>78</v>
      </c>
      <c r="B31" s="73">
        <v>0</v>
      </c>
      <c r="C31" s="73">
        <v>67656.09</v>
      </c>
      <c r="D31" s="73">
        <v>0</v>
      </c>
      <c r="E31" s="81">
        <f>IF(AND(B31=0,D31=0),0,B31/(IF(C31&gt;0,C31,0)+D31))</f>
        <v>0</v>
      </c>
      <c r="F31" s="75">
        <f>IF(E31&lt;=1.05,1,0)</f>
        <v>1</v>
      </c>
      <c r="G31" s="89"/>
      <c r="H31" s="90">
        <f>F31+G31</f>
        <v>1</v>
      </c>
      <c r="I31" s="78">
        <v>0</v>
      </c>
      <c r="J31" s="78">
        <v>666231.19999999995</v>
      </c>
      <c r="K31" s="79">
        <v>496721.8</v>
      </c>
      <c r="L31" s="78">
        <v>122427</v>
      </c>
      <c r="M31" s="73">
        <v>0</v>
      </c>
      <c r="N31" s="81">
        <f>(I31)/(J31-K31-L31)</f>
        <v>0</v>
      </c>
      <c r="O31" s="75">
        <f>IF(N31&lt;=1,1,0)</f>
        <v>1</v>
      </c>
      <c r="P31" s="89"/>
      <c r="Q31" s="90">
        <f>O31+P31</f>
        <v>1</v>
      </c>
      <c r="R31" s="99">
        <v>0</v>
      </c>
      <c r="S31" s="73">
        <v>748393.4</v>
      </c>
      <c r="T31" s="83">
        <v>385361.54</v>
      </c>
      <c r="U31" s="81">
        <f>R31/(S31-T31)</f>
        <v>0</v>
      </c>
      <c r="V31" s="75">
        <f>IF(U31&lt;=0.15,1,0)</f>
        <v>1</v>
      </c>
      <c r="W31" s="89"/>
      <c r="X31" s="90">
        <f>V31+W31</f>
        <v>1</v>
      </c>
      <c r="Y31" s="73">
        <f>C31</f>
        <v>67656.09</v>
      </c>
      <c r="Z31" s="85"/>
      <c r="AA31" s="85">
        <v>67656.09</v>
      </c>
      <c r="AB31" s="85"/>
      <c r="AC31" s="85">
        <f>J31</f>
        <v>666231.19999999995</v>
      </c>
      <c r="AD31" s="85">
        <f>K31</f>
        <v>496721.8</v>
      </c>
      <c r="AE31" s="85">
        <f>L31</f>
        <v>122427</v>
      </c>
      <c r="AF31" s="85">
        <f>AC31-AD31-AE31</f>
        <v>47082.399999999965</v>
      </c>
      <c r="AG31" s="86">
        <f>AF31*10%</f>
        <v>4708.2399999999971</v>
      </c>
      <c r="AH31" s="85">
        <f>IF(AA31&gt;0,AA31,0)+AG31+IF(AB31&gt;0,AB31,0)</f>
        <v>72364.329999999987</v>
      </c>
      <c r="AI31" s="100">
        <f>IF((Y31-IF(Z31&gt;0,Z31,0)-IF(AA31&gt;0,AA31,0)-IF(AB31&gt;0,AB31,0))/(AC31-AD31-AE31)&gt;0,(Y31-IF(Z31&gt;0,Z31,0)-IF(AA31&gt;0,AA31,0)-IF(AB31&gt;0,AB31,0))/(AC31-AD31-AE31),0)</f>
        <v>0</v>
      </c>
      <c r="AJ31" s="88">
        <f>IF(AI31&lt;=0.1,1.5,0)</f>
        <v>1.5</v>
      </c>
      <c r="AK31" s="89"/>
      <c r="AL31" s="90">
        <f>AJ31+AK31</f>
        <v>1.5</v>
      </c>
      <c r="AM31" s="91"/>
      <c r="AN31" s="89"/>
      <c r="AO31" s="100"/>
      <c r="AP31" s="92"/>
      <c r="AQ31" s="89"/>
      <c r="AR31" s="103"/>
      <c r="AS31" s="91"/>
      <c r="AT31" s="89"/>
      <c r="AU31" s="100"/>
      <c r="AV31" s="92"/>
      <c r="AW31" s="89"/>
      <c r="AX31" s="103"/>
      <c r="AY31" s="94"/>
      <c r="AZ31" s="95"/>
      <c r="BA31" s="88">
        <f>AZ31</f>
        <v>0</v>
      </c>
      <c r="BB31" s="96">
        <f t="shared" si="18"/>
        <v>4.5</v>
      </c>
    </row>
    <row r="32" spans="1:54" s="7" customFormat="1" ht="13" x14ac:dyDescent="0.3">
      <c r="A32" s="109" t="s">
        <v>79</v>
      </c>
      <c r="B32" s="110">
        <v>0</v>
      </c>
      <c r="C32" s="110">
        <v>35663.599999999999</v>
      </c>
      <c r="D32" s="110">
        <v>0</v>
      </c>
      <c r="E32" s="111">
        <f t="shared" si="9"/>
        <v>0</v>
      </c>
      <c r="F32" s="112"/>
      <c r="G32" s="113">
        <f t="shared" si="22"/>
        <v>1</v>
      </c>
      <c r="H32" s="114">
        <f t="shared" si="0"/>
        <v>1</v>
      </c>
      <c r="I32" s="115">
        <v>0</v>
      </c>
      <c r="J32" s="115">
        <v>1097841.5</v>
      </c>
      <c r="K32" s="116">
        <v>855382.5</v>
      </c>
      <c r="L32" s="115">
        <v>177591</v>
      </c>
      <c r="M32" s="110">
        <v>0</v>
      </c>
      <c r="N32" s="111">
        <f t="shared" si="11"/>
        <v>0</v>
      </c>
      <c r="O32" s="112"/>
      <c r="P32" s="113">
        <f t="shared" si="24"/>
        <v>1</v>
      </c>
      <c r="Q32" s="114">
        <f t="shared" si="2"/>
        <v>1</v>
      </c>
      <c r="R32" s="117">
        <v>0</v>
      </c>
      <c r="S32" s="110">
        <v>1152284.2</v>
      </c>
      <c r="T32" s="118">
        <v>368517.63</v>
      </c>
      <c r="U32" s="111">
        <f t="shared" si="12"/>
        <v>0</v>
      </c>
      <c r="V32" s="112"/>
      <c r="W32" s="113">
        <f t="shared" si="23"/>
        <v>1</v>
      </c>
      <c r="X32" s="114">
        <f t="shared" si="13"/>
        <v>1</v>
      </c>
      <c r="Y32" s="110">
        <f t="shared" si="14"/>
        <v>35663.599999999999</v>
      </c>
      <c r="Z32" s="119"/>
      <c r="AA32" s="119">
        <v>35663.599999999999</v>
      </c>
      <c r="AB32" s="119"/>
      <c r="AC32" s="119">
        <f t="shared" si="4"/>
        <v>1097841.5</v>
      </c>
      <c r="AD32" s="119">
        <f t="shared" si="4"/>
        <v>855382.5</v>
      </c>
      <c r="AE32" s="119">
        <f t="shared" si="4"/>
        <v>177591</v>
      </c>
      <c r="AF32" s="119">
        <f t="shared" si="15"/>
        <v>64868</v>
      </c>
      <c r="AG32" s="119">
        <f t="shared" si="21"/>
        <v>3243.4</v>
      </c>
      <c r="AH32" s="119">
        <f t="shared" si="6"/>
        <v>38907</v>
      </c>
      <c r="AI32" s="120">
        <f t="shared" si="7"/>
        <v>0</v>
      </c>
      <c r="AJ32" s="112"/>
      <c r="AK32" s="122">
        <f t="shared" si="20"/>
        <v>1.5</v>
      </c>
      <c r="AL32" s="114">
        <f t="shared" si="8"/>
        <v>1.5</v>
      </c>
      <c r="AM32" s="123"/>
      <c r="AN32" s="113"/>
      <c r="AO32" s="120"/>
      <c r="AP32" s="112"/>
      <c r="AQ32" s="122"/>
      <c r="AR32" s="124"/>
      <c r="AS32" s="123"/>
      <c r="AT32" s="113"/>
      <c r="AU32" s="120"/>
      <c r="AV32" s="112"/>
      <c r="AW32" s="122"/>
      <c r="AX32" s="124"/>
      <c r="AY32" s="94"/>
      <c r="AZ32" s="95"/>
      <c r="BA32" s="88">
        <f t="shared" si="17"/>
        <v>0</v>
      </c>
      <c r="BB32" s="96">
        <f t="shared" si="18"/>
        <v>4.5</v>
      </c>
    </row>
    <row r="33" spans="1:54" s="7" customFormat="1" ht="13" x14ac:dyDescent="0.3">
      <c r="A33" s="101" t="s">
        <v>80</v>
      </c>
      <c r="B33" s="73">
        <v>0</v>
      </c>
      <c r="C33" s="73">
        <v>41398.92</v>
      </c>
      <c r="D33" s="73">
        <v>0</v>
      </c>
      <c r="E33" s="81">
        <f>IF(AND(B33=0,D33=0),0,B33/(IF(C33&gt;0,C33,0)+D33))</f>
        <v>0</v>
      </c>
      <c r="F33" s="75">
        <f>IF(E33&lt;=1.05,1,0)</f>
        <v>1</v>
      </c>
      <c r="G33" s="89"/>
      <c r="H33" s="90">
        <f>F33+G33</f>
        <v>1</v>
      </c>
      <c r="I33" s="78">
        <v>0</v>
      </c>
      <c r="J33" s="78">
        <v>1598454.7</v>
      </c>
      <c r="K33" s="79">
        <v>1321508.75</v>
      </c>
      <c r="L33" s="78">
        <v>203808</v>
      </c>
      <c r="M33" s="73">
        <v>0</v>
      </c>
      <c r="N33" s="81">
        <f>(I33)/(J33-K33-L33)</f>
        <v>0</v>
      </c>
      <c r="O33" s="75">
        <f>IF(N33&lt;=1,1,0)</f>
        <v>1</v>
      </c>
      <c r="P33" s="89"/>
      <c r="Q33" s="90">
        <f>O33+P33</f>
        <v>1</v>
      </c>
      <c r="R33" s="99">
        <v>0</v>
      </c>
      <c r="S33" s="73">
        <v>1639853.7</v>
      </c>
      <c r="T33" s="83">
        <v>538199.27</v>
      </c>
      <c r="U33" s="81">
        <f>R33/(S33-T33)</f>
        <v>0</v>
      </c>
      <c r="V33" s="75">
        <f>IF(U33&lt;=0.15,1,0)</f>
        <v>1</v>
      </c>
      <c r="W33" s="89"/>
      <c r="X33" s="90">
        <f>V33+W33</f>
        <v>1</v>
      </c>
      <c r="Y33" s="73">
        <f>C33</f>
        <v>41398.92</v>
      </c>
      <c r="Z33" s="85"/>
      <c r="AA33" s="85">
        <v>41398.92</v>
      </c>
      <c r="AB33" s="85"/>
      <c r="AC33" s="85">
        <f>J33</f>
        <v>1598454.7</v>
      </c>
      <c r="AD33" s="85">
        <f>K33</f>
        <v>1321508.75</v>
      </c>
      <c r="AE33" s="85">
        <f>L33</f>
        <v>203808</v>
      </c>
      <c r="AF33" s="85">
        <f>AC33-AD33-AE33</f>
        <v>73137.949999999953</v>
      </c>
      <c r="AG33" s="86">
        <f>AF33*10%</f>
        <v>7313.7949999999955</v>
      </c>
      <c r="AH33" s="85">
        <f>IF(AA33&gt;0,AA33,0)+AG33+IF(AB33&gt;0,AB33,0)</f>
        <v>48712.714999999997</v>
      </c>
      <c r="AI33" s="100">
        <f>IF((Y33-IF(Z33&gt;0,Z33,0)-IF(AA33&gt;0,AA33,0)-IF(AB33&gt;0,AB33,0))/(AC33-AD33-AE33)&gt;0,(Y33-IF(Z33&gt;0,Z33,0)-IF(AA33&gt;0,AA33,0)-IF(AB33&gt;0,AB33,0))/(AC33-AD33-AE33),0)</f>
        <v>0</v>
      </c>
      <c r="AJ33" s="88">
        <f>IF(AI33&lt;=0.1,1.5,0)</f>
        <v>1.5</v>
      </c>
      <c r="AK33" s="89"/>
      <c r="AL33" s="90">
        <f>AJ33+AK33</f>
        <v>1.5</v>
      </c>
      <c r="AM33" s="91"/>
      <c r="AN33" s="89"/>
      <c r="AO33" s="100"/>
      <c r="AP33" s="92"/>
      <c r="AQ33" s="89"/>
      <c r="AR33" s="103"/>
      <c r="AS33" s="91"/>
      <c r="AT33" s="89"/>
      <c r="AU33" s="100"/>
      <c r="AV33" s="92"/>
      <c r="AW33" s="89"/>
      <c r="AX33" s="103"/>
      <c r="AY33" s="94"/>
      <c r="AZ33" s="95"/>
      <c r="BA33" s="88">
        <f>AZ33</f>
        <v>0</v>
      </c>
      <c r="BB33" s="96">
        <f t="shared" si="18"/>
        <v>4.5</v>
      </c>
    </row>
    <row r="34" spans="1:54" s="7" customFormat="1" ht="13" x14ac:dyDescent="0.3">
      <c r="A34" s="109" t="s">
        <v>81</v>
      </c>
      <c r="B34" s="110">
        <v>0</v>
      </c>
      <c r="C34" s="110">
        <v>12186.09</v>
      </c>
      <c r="D34" s="110">
        <v>0</v>
      </c>
      <c r="E34" s="111">
        <f t="shared" si="9"/>
        <v>0</v>
      </c>
      <c r="F34" s="112"/>
      <c r="G34" s="113">
        <f t="shared" si="22"/>
        <v>1</v>
      </c>
      <c r="H34" s="114">
        <f t="shared" si="0"/>
        <v>1</v>
      </c>
      <c r="I34" s="115">
        <v>0</v>
      </c>
      <c r="J34" s="115">
        <v>331724.09999999998</v>
      </c>
      <c r="K34" s="116">
        <v>256149.07</v>
      </c>
      <c r="L34" s="115">
        <v>29670</v>
      </c>
      <c r="M34" s="110">
        <v>0</v>
      </c>
      <c r="N34" s="111">
        <f t="shared" si="11"/>
        <v>0</v>
      </c>
      <c r="O34" s="112"/>
      <c r="P34" s="113">
        <f t="shared" si="24"/>
        <v>1</v>
      </c>
      <c r="Q34" s="114">
        <f t="shared" si="2"/>
        <v>1</v>
      </c>
      <c r="R34" s="117">
        <v>0</v>
      </c>
      <c r="S34" s="110">
        <v>335898.1</v>
      </c>
      <c r="T34" s="118">
        <v>112762.12</v>
      </c>
      <c r="U34" s="111">
        <f t="shared" si="12"/>
        <v>0</v>
      </c>
      <c r="V34" s="112"/>
      <c r="W34" s="113">
        <f t="shared" si="23"/>
        <v>1</v>
      </c>
      <c r="X34" s="114">
        <f t="shared" si="13"/>
        <v>1</v>
      </c>
      <c r="Y34" s="110">
        <f t="shared" si="14"/>
        <v>12186.09</v>
      </c>
      <c r="Z34" s="119"/>
      <c r="AA34" s="119">
        <v>12186.09</v>
      </c>
      <c r="AB34" s="119"/>
      <c r="AC34" s="119">
        <f t="shared" si="4"/>
        <v>331724.09999999998</v>
      </c>
      <c r="AD34" s="119">
        <f t="shared" si="4"/>
        <v>256149.07</v>
      </c>
      <c r="AE34" s="119">
        <f t="shared" si="4"/>
        <v>29670</v>
      </c>
      <c r="AF34" s="119">
        <f t="shared" si="15"/>
        <v>45905.02999999997</v>
      </c>
      <c r="AG34" s="119">
        <f>AF34*5%</f>
        <v>2295.2514999999985</v>
      </c>
      <c r="AH34" s="119">
        <f t="shared" si="6"/>
        <v>14481.341499999999</v>
      </c>
      <c r="AI34" s="120">
        <f t="shared" si="7"/>
        <v>0</v>
      </c>
      <c r="AJ34" s="121"/>
      <c r="AK34" s="122">
        <f t="shared" si="20"/>
        <v>1.5</v>
      </c>
      <c r="AL34" s="114">
        <f t="shared" si="8"/>
        <v>1.5</v>
      </c>
      <c r="AM34" s="123"/>
      <c r="AN34" s="113"/>
      <c r="AO34" s="120"/>
      <c r="AP34" s="121"/>
      <c r="AQ34" s="122"/>
      <c r="AR34" s="124"/>
      <c r="AS34" s="123"/>
      <c r="AT34" s="113"/>
      <c r="AU34" s="120"/>
      <c r="AV34" s="121"/>
      <c r="AW34" s="122"/>
      <c r="AX34" s="124"/>
      <c r="AY34" s="94"/>
      <c r="AZ34" s="95"/>
      <c r="BA34" s="88">
        <f t="shared" si="17"/>
        <v>0</v>
      </c>
      <c r="BB34" s="96">
        <f t="shared" si="18"/>
        <v>4.5</v>
      </c>
    </row>
    <row r="35" spans="1:54" s="7" customFormat="1" ht="13" x14ac:dyDescent="0.3">
      <c r="A35" s="101" t="s">
        <v>82</v>
      </c>
      <c r="B35" s="73">
        <v>0</v>
      </c>
      <c r="C35" s="73">
        <v>18350.34</v>
      </c>
      <c r="D35" s="73">
        <v>0</v>
      </c>
      <c r="E35" s="81">
        <f>IF(AND(B35=0,D35=0),0,B35/(IF(C35&gt;0,C35,0)+D35))</f>
        <v>0</v>
      </c>
      <c r="F35" s="75">
        <f t="shared" ref="F35:F40" si="25">IF(E35&lt;=1.05,1,0)</f>
        <v>1</v>
      </c>
      <c r="G35" s="89"/>
      <c r="H35" s="90">
        <f>F35+G35</f>
        <v>1</v>
      </c>
      <c r="I35" s="78">
        <v>0</v>
      </c>
      <c r="J35" s="78">
        <v>584435</v>
      </c>
      <c r="K35" s="79">
        <v>435364.68</v>
      </c>
      <c r="L35" s="78">
        <v>68206</v>
      </c>
      <c r="M35" s="73">
        <v>0</v>
      </c>
      <c r="N35" s="81">
        <f>(I35)/(J35-K35-L35)</f>
        <v>0</v>
      </c>
      <c r="O35" s="75">
        <f t="shared" ref="O35:O40" si="26">IF(N35&lt;=1,1,0)</f>
        <v>1</v>
      </c>
      <c r="P35" s="89"/>
      <c r="Q35" s="90">
        <f>O35+P35</f>
        <v>1</v>
      </c>
      <c r="R35" s="99">
        <v>0</v>
      </c>
      <c r="S35" s="73">
        <v>604900.6</v>
      </c>
      <c r="T35" s="83">
        <v>203400.76</v>
      </c>
      <c r="U35" s="81">
        <f>R35/(S35-T35)</f>
        <v>0</v>
      </c>
      <c r="V35" s="75">
        <f t="shared" ref="V35:V40" si="27">IF(U35&lt;=0.15,1,0)</f>
        <v>1</v>
      </c>
      <c r="W35" s="89"/>
      <c r="X35" s="90">
        <f>V35+W35</f>
        <v>1</v>
      </c>
      <c r="Y35" s="73">
        <f>C35</f>
        <v>18350.34</v>
      </c>
      <c r="Z35" s="85"/>
      <c r="AA35" s="85">
        <v>18350.34</v>
      </c>
      <c r="AB35" s="85"/>
      <c r="AC35" s="85">
        <f>J35</f>
        <v>584435</v>
      </c>
      <c r="AD35" s="85">
        <f>K35</f>
        <v>435364.68</v>
      </c>
      <c r="AE35" s="85">
        <f>L35</f>
        <v>68206</v>
      </c>
      <c r="AF35" s="85">
        <f>AC35-AD35-AE35</f>
        <v>80864.320000000007</v>
      </c>
      <c r="AG35" s="86">
        <f>AF35*10%</f>
        <v>8086.4320000000007</v>
      </c>
      <c r="AH35" s="85">
        <f>IF(AA35&gt;0,AA35,0)+AG35+IF(AB35&gt;0,AB35,0)</f>
        <v>26436.772000000001</v>
      </c>
      <c r="AI35" s="100">
        <f>IF((Y35-IF(Z35&gt;0,Z35,0)-IF(AA35&gt;0,AA35,0)-IF(AB35&gt;0,AB35,0))/(AC35-AD35-AE35)&gt;0,(Y35-IF(Z35&gt;0,Z35,0)-IF(AA35&gt;0,AA35,0)-IF(AB35&gt;0,AB35,0))/(AC35-AD35-AE35),0)</f>
        <v>0</v>
      </c>
      <c r="AJ35" s="88">
        <f t="shared" ref="AJ35:AJ40" si="28">IF(AI35&lt;=0.1,1.5,0)</f>
        <v>1.5</v>
      </c>
      <c r="AK35" s="89"/>
      <c r="AL35" s="90">
        <f>AJ35+AK35</f>
        <v>1.5</v>
      </c>
      <c r="AM35" s="91"/>
      <c r="AN35" s="89"/>
      <c r="AO35" s="100"/>
      <c r="AP35" s="92"/>
      <c r="AQ35" s="89"/>
      <c r="AR35" s="103"/>
      <c r="AS35" s="91"/>
      <c r="AT35" s="89"/>
      <c r="AU35" s="100"/>
      <c r="AV35" s="92"/>
      <c r="AW35" s="89"/>
      <c r="AX35" s="103"/>
      <c r="AY35" s="94"/>
      <c r="AZ35" s="95"/>
      <c r="BA35" s="88">
        <f>AZ35</f>
        <v>0</v>
      </c>
      <c r="BB35" s="96">
        <f t="shared" si="18"/>
        <v>4.5</v>
      </c>
    </row>
    <row r="36" spans="1:54" s="7" customFormat="1" ht="13" x14ac:dyDescent="0.3">
      <c r="A36" s="101" t="s">
        <v>83</v>
      </c>
      <c r="B36" s="73">
        <v>0</v>
      </c>
      <c r="C36" s="73">
        <v>15086.21</v>
      </c>
      <c r="D36" s="73">
        <v>0</v>
      </c>
      <c r="E36" s="81">
        <f t="shared" si="9"/>
        <v>0</v>
      </c>
      <c r="F36" s="98">
        <f t="shared" si="25"/>
        <v>1</v>
      </c>
      <c r="G36" s="89"/>
      <c r="H36" s="90">
        <f t="shared" si="0"/>
        <v>1</v>
      </c>
      <c r="I36" s="78">
        <v>20972.78</v>
      </c>
      <c r="J36" s="78">
        <v>1608898.5</v>
      </c>
      <c r="K36" s="79">
        <v>1184256.6599999999</v>
      </c>
      <c r="L36" s="78">
        <v>173259</v>
      </c>
      <c r="M36" s="73">
        <v>0</v>
      </c>
      <c r="N36" s="81">
        <f t="shared" si="11"/>
        <v>8.3429640623043297E-2</v>
      </c>
      <c r="O36" s="98">
        <f t="shared" si="26"/>
        <v>1</v>
      </c>
      <c r="P36" s="89"/>
      <c r="Q36" s="90">
        <f t="shared" si="2"/>
        <v>1</v>
      </c>
      <c r="R36" s="99">
        <v>20.97</v>
      </c>
      <c r="S36" s="73">
        <v>1658144.1</v>
      </c>
      <c r="T36" s="83">
        <v>439170.71</v>
      </c>
      <c r="U36" s="81">
        <f t="shared" si="12"/>
        <v>1.7203000633180348E-5</v>
      </c>
      <c r="V36" s="98">
        <f t="shared" si="27"/>
        <v>1</v>
      </c>
      <c r="W36" s="89"/>
      <c r="X36" s="90">
        <f t="shared" si="13"/>
        <v>1</v>
      </c>
      <c r="Y36" s="73">
        <f t="shared" si="14"/>
        <v>15086.21</v>
      </c>
      <c r="Z36" s="85"/>
      <c r="AA36" s="85">
        <v>15086.21</v>
      </c>
      <c r="AB36" s="85"/>
      <c r="AC36" s="85">
        <f t="shared" si="4"/>
        <v>1608898.5</v>
      </c>
      <c r="AD36" s="85">
        <f t="shared" si="4"/>
        <v>1184256.6599999999</v>
      </c>
      <c r="AE36" s="85">
        <f t="shared" si="4"/>
        <v>173259</v>
      </c>
      <c r="AF36" s="85">
        <f t="shared" si="15"/>
        <v>251382.84000000008</v>
      </c>
      <c r="AG36" s="85">
        <f>AF36*5%</f>
        <v>12569.142000000005</v>
      </c>
      <c r="AH36" s="85">
        <f t="shared" si="6"/>
        <v>27655.352000000006</v>
      </c>
      <c r="AI36" s="100">
        <f t="shared" si="7"/>
        <v>0</v>
      </c>
      <c r="AJ36" s="88">
        <f t="shared" si="28"/>
        <v>1.5</v>
      </c>
      <c r="AK36" s="102"/>
      <c r="AL36" s="90">
        <f t="shared" si="8"/>
        <v>1.5</v>
      </c>
      <c r="AM36" s="91"/>
      <c r="AN36" s="89"/>
      <c r="AO36" s="100"/>
      <c r="AP36" s="88"/>
      <c r="AQ36" s="102"/>
      <c r="AR36" s="103"/>
      <c r="AS36" s="91"/>
      <c r="AT36" s="89"/>
      <c r="AU36" s="100"/>
      <c r="AV36" s="88"/>
      <c r="AW36" s="102"/>
      <c r="AX36" s="103"/>
      <c r="AY36" s="94"/>
      <c r="AZ36" s="95"/>
      <c r="BA36" s="88">
        <f t="shared" si="17"/>
        <v>0</v>
      </c>
      <c r="BB36" s="96">
        <f t="shared" si="18"/>
        <v>4.5</v>
      </c>
    </row>
    <row r="37" spans="1:54" s="7" customFormat="1" ht="13" x14ac:dyDescent="0.3">
      <c r="A37" s="101" t="s">
        <v>84</v>
      </c>
      <c r="B37" s="73">
        <v>0</v>
      </c>
      <c r="C37" s="73">
        <v>7130.69</v>
      </c>
      <c r="D37" s="73">
        <v>0</v>
      </c>
      <c r="E37" s="81">
        <f>IF(AND(B37=0,D37=0),0,B37/(IF(C37&gt;0,C37,0)+D37))</f>
        <v>0</v>
      </c>
      <c r="F37" s="75">
        <f t="shared" si="25"/>
        <v>1</v>
      </c>
      <c r="G37" s="89"/>
      <c r="H37" s="90">
        <f>F37+G37</f>
        <v>1</v>
      </c>
      <c r="I37" s="78">
        <v>0</v>
      </c>
      <c r="J37" s="78">
        <v>442115.7</v>
      </c>
      <c r="K37" s="79">
        <v>279130.95</v>
      </c>
      <c r="L37" s="78">
        <v>91927</v>
      </c>
      <c r="M37" s="73">
        <v>0</v>
      </c>
      <c r="N37" s="81">
        <f>(I37)/(J37-K37-L37)</f>
        <v>0</v>
      </c>
      <c r="O37" s="75">
        <f t="shared" si="26"/>
        <v>1</v>
      </c>
      <c r="P37" s="89"/>
      <c r="Q37" s="90">
        <f>O37+P37</f>
        <v>1</v>
      </c>
      <c r="R37" s="99">
        <v>0</v>
      </c>
      <c r="S37" s="73">
        <v>460015.4</v>
      </c>
      <c r="T37" s="83">
        <v>136826.79</v>
      </c>
      <c r="U37" s="81">
        <f>R37/(S37-T37)</f>
        <v>0</v>
      </c>
      <c r="V37" s="75">
        <f t="shared" si="27"/>
        <v>1</v>
      </c>
      <c r="W37" s="89"/>
      <c r="X37" s="90">
        <f>V37+W37</f>
        <v>1</v>
      </c>
      <c r="Y37" s="73">
        <f>C37</f>
        <v>7130.69</v>
      </c>
      <c r="Z37" s="85"/>
      <c r="AA37" s="85">
        <v>7130.69</v>
      </c>
      <c r="AB37" s="85"/>
      <c r="AC37" s="85">
        <f t="shared" ref="AC37:AE40" si="29">J37</f>
        <v>442115.7</v>
      </c>
      <c r="AD37" s="85">
        <f t="shared" si="29"/>
        <v>279130.95</v>
      </c>
      <c r="AE37" s="85">
        <f t="shared" si="29"/>
        <v>91927</v>
      </c>
      <c r="AF37" s="85">
        <f>AC37-AD37-AE37</f>
        <v>71057.75</v>
      </c>
      <c r="AG37" s="86">
        <f>AF37*10%</f>
        <v>7105.7750000000005</v>
      </c>
      <c r="AH37" s="85">
        <f>IF(AA37&gt;0,AA37,0)+AG37+IF(AB37&gt;0,AB37,0)</f>
        <v>14236.465</v>
      </c>
      <c r="AI37" s="100">
        <f>IF((Y37-IF(Z37&gt;0,Z37,0)-IF(AA37&gt;0,AA37,0)-IF(AB37&gt;0,AB37,0))/(AC37-AD37-AE37)&gt;0,(Y37-IF(Z37&gt;0,Z37,0)-IF(AA37&gt;0,AA37,0)-IF(AB37&gt;0,AB37,0))/(AC37-AD37-AE37),0)</f>
        <v>0</v>
      </c>
      <c r="AJ37" s="88">
        <f t="shared" si="28"/>
        <v>1.5</v>
      </c>
      <c r="AK37" s="89"/>
      <c r="AL37" s="90">
        <f>AJ37+AK37</f>
        <v>1.5</v>
      </c>
      <c r="AM37" s="91"/>
      <c r="AN37" s="89"/>
      <c r="AO37" s="100"/>
      <c r="AP37" s="92"/>
      <c r="AQ37" s="89"/>
      <c r="AR37" s="103"/>
      <c r="AS37" s="91"/>
      <c r="AT37" s="89"/>
      <c r="AU37" s="100"/>
      <c r="AV37" s="92"/>
      <c r="AW37" s="89"/>
      <c r="AX37" s="103"/>
      <c r="AY37" s="94"/>
      <c r="AZ37" s="95"/>
      <c r="BA37" s="88">
        <f>AZ37</f>
        <v>0</v>
      </c>
      <c r="BB37" s="96">
        <f t="shared" si="18"/>
        <v>4.5</v>
      </c>
    </row>
    <row r="38" spans="1:54" s="7" customFormat="1" ht="13" x14ac:dyDescent="0.3">
      <c r="A38" s="101" t="s">
        <v>85</v>
      </c>
      <c r="B38" s="104">
        <v>0</v>
      </c>
      <c r="C38" s="104">
        <v>124046.89</v>
      </c>
      <c r="D38" s="104">
        <v>0</v>
      </c>
      <c r="E38" s="81">
        <f>IF(AND(B38=0,D38=0),0,B38/(IF(C38&gt;0,C38,0)+D38))</f>
        <v>0</v>
      </c>
      <c r="F38" s="75">
        <f t="shared" si="25"/>
        <v>1</v>
      </c>
      <c r="G38" s="76"/>
      <c r="H38" s="77">
        <f>F38+G38</f>
        <v>1</v>
      </c>
      <c r="I38" s="78">
        <v>0</v>
      </c>
      <c r="J38" s="105">
        <v>944059.5</v>
      </c>
      <c r="K38" s="79">
        <v>748717</v>
      </c>
      <c r="L38" s="78">
        <v>134297</v>
      </c>
      <c r="M38" s="104">
        <v>0</v>
      </c>
      <c r="N38" s="81">
        <f>(I38)/(J38-K38-L38)</f>
        <v>0</v>
      </c>
      <c r="O38" s="75">
        <f t="shared" si="26"/>
        <v>1</v>
      </c>
      <c r="P38" s="76"/>
      <c r="Q38" s="77">
        <f>O38+P38</f>
        <v>1</v>
      </c>
      <c r="R38" s="106">
        <v>0</v>
      </c>
      <c r="S38" s="104">
        <v>1089167.1000000001</v>
      </c>
      <c r="T38" s="83">
        <v>286714.18</v>
      </c>
      <c r="U38" s="74">
        <f>R38/(S38-T38)</f>
        <v>0</v>
      </c>
      <c r="V38" s="75">
        <f t="shared" si="27"/>
        <v>1</v>
      </c>
      <c r="W38" s="76"/>
      <c r="X38" s="77">
        <f>V38+W38</f>
        <v>1</v>
      </c>
      <c r="Y38" s="104">
        <f>C38</f>
        <v>124046.89</v>
      </c>
      <c r="Z38" s="86"/>
      <c r="AA38" s="86">
        <v>124046.89</v>
      </c>
      <c r="AB38" s="86"/>
      <c r="AC38" s="86">
        <f t="shared" si="29"/>
        <v>944059.5</v>
      </c>
      <c r="AD38" s="86">
        <f t="shared" si="29"/>
        <v>748717</v>
      </c>
      <c r="AE38" s="85">
        <f t="shared" si="29"/>
        <v>134297</v>
      </c>
      <c r="AF38" s="86">
        <f>AC38-AD38-AE38</f>
        <v>61045.5</v>
      </c>
      <c r="AG38" s="86">
        <f>AF38*10%</f>
        <v>6104.55</v>
      </c>
      <c r="AH38" s="86">
        <f>IF(AA38&gt;0,AA38,0)+AG38+IF(AB38&gt;0,AB38,0)</f>
        <v>130151.44</v>
      </c>
      <c r="AI38" s="107">
        <f>IF((Y38-IF(Z38&gt;0,Z38,0)-IF(AA38&gt;0,AA38,0)-IF(AB38&gt;0,AB38,0))/(AC38-AD38-AE38)&gt;0,(Y38-IF(Z38&gt;0,Z38,0)-IF(AA38&gt;0,AA38,0)-IF(AB38&gt;0,AB38,0))/(AC38-AD38-AE38),0)</f>
        <v>0</v>
      </c>
      <c r="AJ38" s="88">
        <f t="shared" si="28"/>
        <v>1.5</v>
      </c>
      <c r="AK38" s="76"/>
      <c r="AL38" s="77">
        <f>AJ38+AK38</f>
        <v>1.5</v>
      </c>
      <c r="AM38" s="108"/>
      <c r="AN38" s="76"/>
      <c r="AO38" s="87"/>
      <c r="AP38" s="92"/>
      <c r="AQ38" s="76"/>
      <c r="AR38" s="93"/>
      <c r="AS38" s="108"/>
      <c r="AT38" s="76"/>
      <c r="AU38" s="87"/>
      <c r="AV38" s="92"/>
      <c r="AW38" s="76"/>
      <c r="AX38" s="93"/>
      <c r="AY38" s="94"/>
      <c r="AZ38" s="95"/>
      <c r="BA38" s="88">
        <f>AZ38</f>
        <v>0</v>
      </c>
      <c r="BB38" s="96">
        <f>H38+Q38+X38+AL38+BA38</f>
        <v>4.5</v>
      </c>
    </row>
    <row r="39" spans="1:54" s="7" customFormat="1" ht="13" x14ac:dyDescent="0.3">
      <c r="A39" s="101" t="s">
        <v>86</v>
      </c>
      <c r="B39" s="104">
        <v>0</v>
      </c>
      <c r="C39" s="104">
        <v>16986.080000000002</v>
      </c>
      <c r="D39" s="104">
        <v>0</v>
      </c>
      <c r="E39" s="81">
        <f>IF(AND(B39=0,D39=0),0,B39/(IF(C39&gt;0,C39,0)+D39))</f>
        <v>0</v>
      </c>
      <c r="F39" s="75">
        <f t="shared" si="25"/>
        <v>1</v>
      </c>
      <c r="G39" s="76"/>
      <c r="H39" s="77">
        <f>F39+G39</f>
        <v>1</v>
      </c>
      <c r="I39" s="78">
        <v>3500</v>
      </c>
      <c r="J39" s="105">
        <v>952392.8</v>
      </c>
      <c r="K39" s="79">
        <v>751382.91</v>
      </c>
      <c r="L39" s="78">
        <v>139815</v>
      </c>
      <c r="M39" s="104">
        <v>0</v>
      </c>
      <c r="N39" s="81">
        <f>(I39)/(J39-K39-L39)</f>
        <v>5.7194318022305443E-2</v>
      </c>
      <c r="O39" s="75">
        <f t="shared" si="26"/>
        <v>1</v>
      </c>
      <c r="P39" s="76"/>
      <c r="Q39" s="77">
        <f>O39+P39</f>
        <v>1</v>
      </c>
      <c r="R39" s="106">
        <v>3.5</v>
      </c>
      <c r="S39" s="104">
        <v>992050.5</v>
      </c>
      <c r="T39" s="83">
        <v>283964.05</v>
      </c>
      <c r="U39" s="74">
        <f>R39/(S39-T39)</f>
        <v>4.9428992745165514E-6</v>
      </c>
      <c r="V39" s="75">
        <f t="shared" si="27"/>
        <v>1</v>
      </c>
      <c r="W39" s="76"/>
      <c r="X39" s="77">
        <f>V39+W39</f>
        <v>1</v>
      </c>
      <c r="Y39" s="104">
        <f>C39</f>
        <v>16986.080000000002</v>
      </c>
      <c r="Z39" s="86"/>
      <c r="AA39" s="86">
        <v>16986.080000000002</v>
      </c>
      <c r="AB39" s="86"/>
      <c r="AC39" s="86">
        <f t="shared" si="29"/>
        <v>952392.8</v>
      </c>
      <c r="AD39" s="86">
        <f t="shared" si="29"/>
        <v>751382.91</v>
      </c>
      <c r="AE39" s="85">
        <f t="shared" si="29"/>
        <v>139815</v>
      </c>
      <c r="AF39" s="86">
        <f>AC39-AD39-AE39</f>
        <v>61194.890000000014</v>
      </c>
      <c r="AG39" s="86">
        <f>AF39*10%</f>
        <v>6119.4890000000014</v>
      </c>
      <c r="AH39" s="86">
        <f>IF(AA39&gt;0,AA39,0)+AG39+IF(AB39&gt;0,AB39,0)</f>
        <v>23105.569000000003</v>
      </c>
      <c r="AI39" s="107">
        <f>IF((Y39-IF(Z39&gt;0,Z39,0)-IF(AA39&gt;0,AA39,0)-IF(AB39&gt;0,AB39,0))/(AC39-AD39-AE39)&gt;0,(Y39-IF(Z39&gt;0,Z39,0)-IF(AA39&gt;0,AA39,0)-IF(AB39&gt;0,AB39,0))/(AC39-AD39-AE39),0)</f>
        <v>0</v>
      </c>
      <c r="AJ39" s="88">
        <f t="shared" si="28"/>
        <v>1.5</v>
      </c>
      <c r="AK39" s="76"/>
      <c r="AL39" s="77">
        <f>AJ39+AK39</f>
        <v>1.5</v>
      </c>
      <c r="AM39" s="108"/>
      <c r="AN39" s="76"/>
      <c r="AO39" s="87"/>
      <c r="AP39" s="92"/>
      <c r="AQ39" s="76"/>
      <c r="AR39" s="93"/>
      <c r="AS39" s="108"/>
      <c r="AT39" s="76"/>
      <c r="AU39" s="87"/>
      <c r="AV39" s="92"/>
      <c r="AW39" s="76"/>
      <c r="AX39" s="93"/>
      <c r="AY39" s="94"/>
      <c r="AZ39" s="95"/>
      <c r="BA39" s="88">
        <f>AZ39</f>
        <v>0</v>
      </c>
      <c r="BB39" s="96">
        <f>H39+Q39+X39+AL39+BA39</f>
        <v>4.5</v>
      </c>
    </row>
    <row r="40" spans="1:54" s="7" customFormat="1" ht="13.5" thickBot="1" x14ac:dyDescent="0.35">
      <c r="A40" s="101" t="s">
        <v>87</v>
      </c>
      <c r="B40" s="104">
        <v>0</v>
      </c>
      <c r="C40" s="104">
        <v>83473.789999999994</v>
      </c>
      <c r="D40" s="104">
        <v>0</v>
      </c>
      <c r="E40" s="81">
        <f>IF(AND(B40=0,D40=0),0,B40/(IF(C40&gt;0,C40,0)+D40))</f>
        <v>0</v>
      </c>
      <c r="F40" s="75">
        <f t="shared" si="25"/>
        <v>1</v>
      </c>
      <c r="G40" s="76"/>
      <c r="H40" s="77">
        <f>F40+G40</f>
        <v>1</v>
      </c>
      <c r="I40" s="78">
        <v>0</v>
      </c>
      <c r="J40" s="105">
        <v>1029362</v>
      </c>
      <c r="K40" s="79">
        <v>739051.97</v>
      </c>
      <c r="L40" s="78">
        <v>201284</v>
      </c>
      <c r="M40" s="104">
        <v>0</v>
      </c>
      <c r="N40" s="81">
        <f>(I40)/(J40-K40-L40)</f>
        <v>0</v>
      </c>
      <c r="O40" s="75">
        <f t="shared" si="26"/>
        <v>1</v>
      </c>
      <c r="P40" s="76"/>
      <c r="Q40" s="77">
        <f>O40+P40</f>
        <v>1</v>
      </c>
      <c r="R40" s="106">
        <v>0</v>
      </c>
      <c r="S40" s="104">
        <v>1113392</v>
      </c>
      <c r="T40" s="83">
        <v>435688.99</v>
      </c>
      <c r="U40" s="74">
        <f>R40/(S40-T40)</f>
        <v>0</v>
      </c>
      <c r="V40" s="75">
        <f t="shared" si="27"/>
        <v>1</v>
      </c>
      <c r="W40" s="76"/>
      <c r="X40" s="77">
        <f>V40+W40</f>
        <v>1</v>
      </c>
      <c r="Y40" s="104">
        <f>C40</f>
        <v>83473.789999999994</v>
      </c>
      <c r="Z40" s="86"/>
      <c r="AA40" s="86">
        <v>83473.789999999994</v>
      </c>
      <c r="AB40" s="86"/>
      <c r="AC40" s="86">
        <f t="shared" si="29"/>
        <v>1029362</v>
      </c>
      <c r="AD40" s="86">
        <f t="shared" si="29"/>
        <v>739051.97</v>
      </c>
      <c r="AE40" s="85">
        <f t="shared" si="29"/>
        <v>201284</v>
      </c>
      <c r="AF40" s="86">
        <f>AC40-AD40-AE40</f>
        <v>89026.030000000028</v>
      </c>
      <c r="AG40" s="86">
        <f>AF40*10%</f>
        <v>8902.6030000000028</v>
      </c>
      <c r="AH40" s="86">
        <f>IF(AA40&gt;0,AA40,0)+AG40+IF(AB40&gt;0,AB40,0)</f>
        <v>92376.392999999996</v>
      </c>
      <c r="AI40" s="107">
        <f>IF((Y40-IF(Z40&gt;0,Z40,0)-IF(AA40&gt;0,AA40,0)-IF(AB40&gt;0,AB40,0))/(AC40-AD40-AE40)&gt;0,(Y40-IF(Z40&gt;0,Z40,0)-IF(AA40&gt;0,AA40,0)-IF(AB40&gt;0,AB40,0))/(AC40-AD40-AE40),0)</f>
        <v>0</v>
      </c>
      <c r="AJ40" s="88">
        <f t="shared" si="28"/>
        <v>1.5</v>
      </c>
      <c r="AK40" s="76"/>
      <c r="AL40" s="77">
        <f>AJ40+AK40</f>
        <v>1.5</v>
      </c>
      <c r="AM40" s="108"/>
      <c r="AN40" s="76"/>
      <c r="AO40" s="87"/>
      <c r="AP40" s="92"/>
      <c r="AQ40" s="76"/>
      <c r="AR40" s="93"/>
      <c r="AS40" s="108"/>
      <c r="AT40" s="76"/>
      <c r="AU40" s="87"/>
      <c r="AV40" s="92"/>
      <c r="AW40" s="76"/>
      <c r="AX40" s="93"/>
      <c r="AY40" s="94"/>
      <c r="AZ40" s="95"/>
      <c r="BA40" s="88">
        <f>AZ40</f>
        <v>0</v>
      </c>
      <c r="BB40" s="96">
        <f>H40+Q40+X40+AL40+BA40</f>
        <v>4.5</v>
      </c>
    </row>
    <row r="41" spans="1:54" ht="14" thickTop="1" thickBot="1" x14ac:dyDescent="0.35">
      <c r="A41" s="125" t="s">
        <v>88</v>
      </c>
      <c r="B41" s="126">
        <f>SUM(B10:B40)</f>
        <v>1780723.6</v>
      </c>
      <c r="C41" s="126">
        <f>SUM(C10:C40)</f>
        <v>1723484.4400000004</v>
      </c>
      <c r="D41" s="126">
        <f>SUM(D10:D40)</f>
        <v>1534703.1</v>
      </c>
      <c r="E41" s="127"/>
      <c r="F41" s="127"/>
      <c r="G41" s="127"/>
      <c r="H41" s="128"/>
      <c r="I41" s="129">
        <f>SUM(I10:I40)</f>
        <v>2947309.8499999996</v>
      </c>
      <c r="J41" s="130">
        <f>SUM(J10:J40)</f>
        <v>46359023.700000003</v>
      </c>
      <c r="K41" s="130">
        <f>SUM(K10:K40)</f>
        <v>35408338.350000001</v>
      </c>
      <c r="L41" s="130">
        <f>SUM(L10:L40)</f>
        <v>4247947</v>
      </c>
      <c r="M41" s="127">
        <f>SUM(M10:M40)</f>
        <v>0</v>
      </c>
      <c r="N41" s="127"/>
      <c r="O41" s="127"/>
      <c r="P41" s="127"/>
      <c r="Q41" s="128"/>
      <c r="R41" s="131">
        <f>SUM(R10:R40)</f>
        <v>202593.17</v>
      </c>
      <c r="S41" s="127">
        <f>SUM(S10:S40)</f>
        <v>48763644.300000019</v>
      </c>
      <c r="T41" s="132">
        <f>SUM(T10:T40)</f>
        <v>14559091.040000001</v>
      </c>
      <c r="U41" s="127"/>
      <c r="V41" s="127"/>
      <c r="W41" s="127"/>
      <c r="X41" s="128"/>
      <c r="Y41" s="133">
        <f t="shared" ref="Y41:AE41" si="30">SUM(Y10:Y40)</f>
        <v>1723484.4400000004</v>
      </c>
      <c r="Z41" s="131">
        <f t="shared" si="30"/>
        <v>0</v>
      </c>
      <c r="AA41" s="131">
        <f t="shared" si="30"/>
        <v>1531058.7000000002</v>
      </c>
      <c r="AB41" s="131">
        <f t="shared" si="30"/>
        <v>0</v>
      </c>
      <c r="AC41" s="131">
        <f t="shared" si="30"/>
        <v>46359023.700000003</v>
      </c>
      <c r="AD41" s="131">
        <f t="shared" si="30"/>
        <v>35408338.350000001</v>
      </c>
      <c r="AE41" s="131">
        <f t="shared" si="30"/>
        <v>4247947</v>
      </c>
      <c r="AF41" s="134"/>
      <c r="AG41" s="134"/>
      <c r="AH41" s="134"/>
      <c r="AI41" s="127"/>
      <c r="AJ41" s="127"/>
      <c r="AK41" s="127"/>
      <c r="AL41" s="127"/>
      <c r="AM41" s="131"/>
      <c r="AN41" s="135"/>
      <c r="AO41" s="127"/>
      <c r="AP41" s="127"/>
      <c r="AQ41" s="127"/>
      <c r="AR41" s="127"/>
      <c r="AS41" s="135"/>
      <c r="AT41" s="135"/>
      <c r="AU41" s="127"/>
      <c r="AV41" s="127"/>
      <c r="AW41" s="127"/>
      <c r="AX41" s="127"/>
      <c r="AY41" s="135"/>
      <c r="AZ41" s="127"/>
      <c r="BA41" s="128"/>
      <c r="BB41" s="136"/>
    </row>
    <row r="42" spans="1:54" ht="13" thickTop="1" x14ac:dyDescent="0.25">
      <c r="BA42">
        <v>3</v>
      </c>
    </row>
  </sheetData>
  <mergeCells count="13">
    <mergeCell ref="AM4:AR4"/>
    <mergeCell ref="AS4:AX4"/>
    <mergeCell ref="B5:D5"/>
    <mergeCell ref="R5:T5"/>
    <mergeCell ref="Y5:AA5"/>
    <mergeCell ref="AM5:AN5"/>
    <mergeCell ref="AS5:AT5"/>
    <mergeCell ref="B1:H3"/>
    <mergeCell ref="A4:A7"/>
    <mergeCell ref="B4:H4"/>
    <mergeCell ref="I4:Q4"/>
    <mergeCell ref="R4:X4"/>
    <mergeCell ref="Y4:AL4"/>
  </mergeCells>
  <pageMargins left="0.19685039370078741" right="0.19685039370078741" top="0.35433070866141736" bottom="0.27559055118110237" header="0.31496062992125984" footer="0.31496062992125984"/>
  <pageSetup paperSize="9" scale="7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 3 кв.</vt:lpstr>
      <vt:lpstr>'за 3 кв.'!Заголовки_для_печати</vt:lpstr>
      <vt:lpstr>'за 3 кв.'!Область_печати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dcterms:created xsi:type="dcterms:W3CDTF">2024-10-18T08:53:52Z</dcterms:created>
  <dcterms:modified xsi:type="dcterms:W3CDTF">2024-10-18T08:55:11Z</dcterms:modified>
</cp:coreProperties>
</file>