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0" windowWidth="25820" windowHeight="11930"/>
  </bookViews>
  <sheets>
    <sheet name="2023 год" sheetId="1" r:id="rId1"/>
  </sheets>
  <definedNames>
    <definedName name="_xlnm.Print_Titles" localSheetId="0">'2023 год'!$A:$A</definedName>
    <definedName name="_xlnm.Print_Area" localSheetId="0">'2023 год'!$A$1:$AY$40</definedName>
  </definedNames>
  <calcPr calcId="145621"/>
</workbook>
</file>

<file path=xl/calcChain.xml><?xml version="1.0" encoding="utf-8"?>
<calcChain xmlns="http://schemas.openxmlformats.org/spreadsheetml/2006/main">
  <c r="R41" i="1" l="1"/>
  <c r="S41" i="1"/>
  <c r="T41" i="1"/>
  <c r="AT41" i="1" l="1"/>
  <c r="AS41" i="1"/>
  <c r="AN41" i="1"/>
  <c r="AM41" i="1"/>
  <c r="AB41" i="1"/>
  <c r="AA41" i="1"/>
  <c r="Z41" i="1"/>
  <c r="M41" i="1"/>
  <c r="L41" i="1"/>
  <c r="K41" i="1"/>
  <c r="J41" i="1"/>
  <c r="I41" i="1"/>
  <c r="D41" i="1"/>
  <c r="C41" i="1"/>
  <c r="B41" i="1"/>
  <c r="BA40" i="1"/>
  <c r="U40" i="1"/>
  <c r="W40" i="1" s="1"/>
  <c r="X40" i="1" s="1"/>
  <c r="N40" i="1"/>
  <c r="P40" i="1" s="1"/>
  <c r="Q40" i="1" s="1"/>
  <c r="E40" i="1"/>
  <c r="G40" i="1" s="1"/>
  <c r="H40" i="1" s="1"/>
  <c r="BA39" i="1"/>
  <c r="U39" i="1"/>
  <c r="W39" i="1" s="1"/>
  <c r="X39" i="1" s="1"/>
  <c r="N39" i="1"/>
  <c r="P39" i="1" s="1"/>
  <c r="Q39" i="1" s="1"/>
  <c r="E39" i="1"/>
  <c r="G39" i="1" s="1"/>
  <c r="H39" i="1" s="1"/>
  <c r="BA38" i="1"/>
  <c r="U38" i="1"/>
  <c r="W38" i="1" s="1"/>
  <c r="X38" i="1" s="1"/>
  <c r="N38" i="1"/>
  <c r="P38" i="1" s="1"/>
  <c r="Q38" i="1" s="1"/>
  <c r="E38" i="1"/>
  <c r="G38" i="1" s="1"/>
  <c r="H38" i="1" s="1"/>
  <c r="BA37" i="1"/>
  <c r="U37" i="1"/>
  <c r="V37" i="1" s="1"/>
  <c r="X37" i="1" s="1"/>
  <c r="N37" i="1"/>
  <c r="O37" i="1" s="1"/>
  <c r="Q37" i="1" s="1"/>
  <c r="E37" i="1"/>
  <c r="F37" i="1" s="1"/>
  <c r="H37" i="1" s="1"/>
  <c r="BA36" i="1"/>
  <c r="U36" i="1"/>
  <c r="V36" i="1" s="1"/>
  <c r="X36" i="1" s="1"/>
  <c r="N36" i="1"/>
  <c r="O36" i="1" s="1"/>
  <c r="Q36" i="1" s="1"/>
  <c r="E36" i="1"/>
  <c r="F36" i="1" s="1"/>
  <c r="H36" i="1" s="1"/>
  <c r="BA35" i="1"/>
  <c r="V35" i="1"/>
  <c r="X35" i="1" s="1"/>
  <c r="U35" i="1"/>
  <c r="N35" i="1"/>
  <c r="O35" i="1" s="1"/>
  <c r="Q35" i="1" s="1"/>
  <c r="E35" i="1"/>
  <c r="F35" i="1" s="1"/>
  <c r="H35" i="1" s="1"/>
  <c r="BA34" i="1"/>
  <c r="AI34" i="1"/>
  <c r="AK34" i="1" s="1"/>
  <c r="AL34" i="1" s="1"/>
  <c r="U34" i="1"/>
  <c r="W34" i="1" s="1"/>
  <c r="X34" i="1" s="1"/>
  <c r="N34" i="1"/>
  <c r="P34" i="1" s="1"/>
  <c r="Q34" i="1" s="1"/>
  <c r="E34" i="1"/>
  <c r="G34" i="1" s="1"/>
  <c r="H34" i="1" s="1"/>
  <c r="BA33" i="1"/>
  <c r="AI33" i="1"/>
  <c r="AJ33" i="1" s="1"/>
  <c r="AL33" i="1" s="1"/>
  <c r="U33" i="1"/>
  <c r="V33" i="1" s="1"/>
  <c r="X33" i="1" s="1"/>
  <c r="N33" i="1"/>
  <c r="O33" i="1" s="1"/>
  <c r="Q33" i="1" s="1"/>
  <c r="E33" i="1"/>
  <c r="F33" i="1" s="1"/>
  <c r="H33" i="1" s="1"/>
  <c r="BA32" i="1"/>
  <c r="U32" i="1"/>
  <c r="W32" i="1" s="1"/>
  <c r="X32" i="1" s="1"/>
  <c r="N32" i="1"/>
  <c r="P32" i="1" s="1"/>
  <c r="Q32" i="1" s="1"/>
  <c r="E32" i="1"/>
  <c r="G32" i="1" s="1"/>
  <c r="H32" i="1" s="1"/>
  <c r="BA31" i="1"/>
  <c r="U31" i="1"/>
  <c r="V31" i="1" s="1"/>
  <c r="X31" i="1" s="1"/>
  <c r="N31" i="1"/>
  <c r="O31" i="1" s="1"/>
  <c r="Q31" i="1" s="1"/>
  <c r="E31" i="1"/>
  <c r="F31" i="1" s="1"/>
  <c r="H31" i="1" s="1"/>
  <c r="BA30" i="1"/>
  <c r="U30" i="1"/>
  <c r="W30" i="1" s="1"/>
  <c r="X30" i="1" s="1"/>
  <c r="N30" i="1"/>
  <c r="P30" i="1" s="1"/>
  <c r="Q30" i="1" s="1"/>
  <c r="E30" i="1"/>
  <c r="G30" i="1" s="1"/>
  <c r="H30" i="1" s="1"/>
  <c r="BA29" i="1"/>
  <c r="U29" i="1"/>
  <c r="W29" i="1" s="1"/>
  <c r="X29" i="1" s="1"/>
  <c r="N29" i="1"/>
  <c r="P29" i="1" s="1"/>
  <c r="Q29" i="1" s="1"/>
  <c r="E29" i="1"/>
  <c r="G29" i="1" s="1"/>
  <c r="H29" i="1" s="1"/>
  <c r="BA28" i="1"/>
  <c r="U28" i="1"/>
  <c r="W28" i="1" s="1"/>
  <c r="X28" i="1" s="1"/>
  <c r="N28" i="1"/>
  <c r="P28" i="1" s="1"/>
  <c r="Q28" i="1" s="1"/>
  <c r="E28" i="1"/>
  <c r="G28" i="1" s="1"/>
  <c r="H28" i="1" s="1"/>
  <c r="BA27" i="1"/>
  <c r="U27" i="1"/>
  <c r="W27" i="1" s="1"/>
  <c r="X27" i="1" s="1"/>
  <c r="N27" i="1"/>
  <c r="P27" i="1" s="1"/>
  <c r="Q27" i="1" s="1"/>
  <c r="E27" i="1"/>
  <c r="G27" i="1" s="1"/>
  <c r="H27" i="1" s="1"/>
  <c r="BA26" i="1"/>
  <c r="U26" i="1"/>
  <c r="W26" i="1" s="1"/>
  <c r="X26" i="1" s="1"/>
  <c r="N26" i="1"/>
  <c r="P26" i="1" s="1"/>
  <c r="Q26" i="1" s="1"/>
  <c r="E26" i="1"/>
  <c r="G26" i="1" s="1"/>
  <c r="H26" i="1" s="1"/>
  <c r="BA25" i="1"/>
  <c r="U25" i="1"/>
  <c r="W25" i="1" s="1"/>
  <c r="X25" i="1" s="1"/>
  <c r="N25" i="1"/>
  <c r="P25" i="1" s="1"/>
  <c r="Q25" i="1" s="1"/>
  <c r="E25" i="1"/>
  <c r="G25" i="1" s="1"/>
  <c r="H25" i="1" s="1"/>
  <c r="BA24" i="1"/>
  <c r="U24" i="1"/>
  <c r="W24" i="1" s="1"/>
  <c r="X24" i="1" s="1"/>
  <c r="N24" i="1"/>
  <c r="P24" i="1" s="1"/>
  <c r="Q24" i="1" s="1"/>
  <c r="E24" i="1"/>
  <c r="G24" i="1" s="1"/>
  <c r="H24" i="1" s="1"/>
  <c r="BA23" i="1"/>
  <c r="U23" i="1"/>
  <c r="W23" i="1" s="1"/>
  <c r="X23" i="1" s="1"/>
  <c r="N23" i="1"/>
  <c r="P23" i="1" s="1"/>
  <c r="Q23" i="1" s="1"/>
  <c r="E23" i="1"/>
  <c r="G23" i="1" s="1"/>
  <c r="H23" i="1" s="1"/>
  <c r="BA22" i="1"/>
  <c r="U22" i="1"/>
  <c r="V22" i="1" s="1"/>
  <c r="X22" i="1" s="1"/>
  <c r="N22" i="1"/>
  <c r="O22" i="1" s="1"/>
  <c r="Q22" i="1" s="1"/>
  <c r="E22" i="1"/>
  <c r="F22" i="1" s="1"/>
  <c r="H22" i="1" s="1"/>
  <c r="BA21" i="1"/>
  <c r="U21" i="1"/>
  <c r="W21" i="1" s="1"/>
  <c r="X21" i="1" s="1"/>
  <c r="N21" i="1"/>
  <c r="P21" i="1" s="1"/>
  <c r="Q21" i="1" s="1"/>
  <c r="E21" i="1"/>
  <c r="G21" i="1" s="1"/>
  <c r="H21" i="1" s="1"/>
  <c r="BA20" i="1"/>
  <c r="U20" i="1"/>
  <c r="W20" i="1" s="1"/>
  <c r="X20" i="1" s="1"/>
  <c r="N20" i="1"/>
  <c r="P20" i="1" s="1"/>
  <c r="Q20" i="1" s="1"/>
  <c r="E20" i="1"/>
  <c r="G20" i="1" s="1"/>
  <c r="H20" i="1" s="1"/>
  <c r="BA19" i="1"/>
  <c r="U19" i="1"/>
  <c r="V19" i="1" s="1"/>
  <c r="X19" i="1" s="1"/>
  <c r="N19" i="1"/>
  <c r="O19" i="1" s="1"/>
  <c r="Q19" i="1" s="1"/>
  <c r="E19" i="1"/>
  <c r="F19" i="1" s="1"/>
  <c r="H19" i="1" s="1"/>
  <c r="BA18" i="1"/>
  <c r="U18" i="1"/>
  <c r="W18" i="1" s="1"/>
  <c r="X18" i="1" s="1"/>
  <c r="N18" i="1"/>
  <c r="P18" i="1" s="1"/>
  <c r="Q18" i="1" s="1"/>
  <c r="E18" i="1"/>
  <c r="G18" i="1" s="1"/>
  <c r="H18" i="1" s="1"/>
  <c r="BA17" i="1"/>
  <c r="U17" i="1"/>
  <c r="V17" i="1" s="1"/>
  <c r="X17" i="1" s="1"/>
  <c r="N17" i="1"/>
  <c r="O17" i="1" s="1"/>
  <c r="Q17" i="1" s="1"/>
  <c r="E17" i="1"/>
  <c r="F17" i="1" s="1"/>
  <c r="H17" i="1" s="1"/>
  <c r="BA16" i="1"/>
  <c r="U16" i="1"/>
  <c r="V16" i="1" s="1"/>
  <c r="X16" i="1" s="1"/>
  <c r="N16" i="1"/>
  <c r="O16" i="1" s="1"/>
  <c r="Q16" i="1" s="1"/>
  <c r="E16" i="1"/>
  <c r="F16" i="1" s="1"/>
  <c r="H16" i="1" s="1"/>
  <c r="BA15" i="1"/>
  <c r="U15" i="1"/>
  <c r="W15" i="1" s="1"/>
  <c r="X15" i="1" s="1"/>
  <c r="N15" i="1"/>
  <c r="P15" i="1" s="1"/>
  <c r="Q15" i="1" s="1"/>
  <c r="E15" i="1"/>
  <c r="G15" i="1" s="1"/>
  <c r="H15" i="1" s="1"/>
  <c r="BA14" i="1"/>
  <c r="U14" i="1"/>
  <c r="V14" i="1" s="1"/>
  <c r="X14" i="1" s="1"/>
  <c r="N14" i="1"/>
  <c r="O14" i="1" s="1"/>
  <c r="Q14" i="1" s="1"/>
  <c r="E14" i="1"/>
  <c r="F14" i="1" s="1"/>
  <c r="H14" i="1" s="1"/>
  <c r="BA13" i="1"/>
  <c r="U13" i="1"/>
  <c r="V13" i="1" s="1"/>
  <c r="X13" i="1" s="1"/>
  <c r="N13" i="1"/>
  <c r="O13" i="1" s="1"/>
  <c r="Q13" i="1" s="1"/>
  <c r="E13" i="1"/>
  <c r="F13" i="1" s="1"/>
  <c r="H13" i="1" s="1"/>
  <c r="BA12" i="1"/>
  <c r="U12" i="1"/>
  <c r="V12" i="1" s="1"/>
  <c r="X12" i="1" s="1"/>
  <c r="N12" i="1"/>
  <c r="O12" i="1" s="1"/>
  <c r="Q12" i="1" s="1"/>
  <c r="F12" i="1"/>
  <c r="H12" i="1" s="1"/>
  <c r="E12" i="1"/>
  <c r="BA11" i="1"/>
  <c r="U11" i="1"/>
  <c r="V11" i="1" s="1"/>
  <c r="X11" i="1" s="1"/>
  <c r="N11" i="1"/>
  <c r="O11" i="1" s="1"/>
  <c r="Q11" i="1" s="1"/>
  <c r="E11" i="1"/>
  <c r="F11" i="1" s="1"/>
  <c r="H11" i="1" s="1"/>
  <c r="BA10" i="1"/>
  <c r="U10" i="1"/>
  <c r="V10" i="1" s="1"/>
  <c r="X10" i="1" s="1"/>
  <c r="N10" i="1"/>
  <c r="O10" i="1" s="1"/>
  <c r="Q10" i="1" s="1"/>
  <c r="E10" i="1"/>
  <c r="F10" i="1" s="1"/>
  <c r="H10" i="1" s="1"/>
  <c r="AF38" i="1" l="1"/>
  <c r="AG38" i="1" s="1"/>
  <c r="AH38" i="1" s="1"/>
  <c r="AI22" i="1"/>
  <c r="AJ22" i="1" s="1"/>
  <c r="AL22" i="1" s="1"/>
  <c r="AI23" i="1"/>
  <c r="AK23" i="1" s="1"/>
  <c r="AL23" i="1" s="1"/>
  <c r="AE41" i="1"/>
  <c r="AI14" i="1"/>
  <c r="AJ14" i="1" s="1"/>
  <c r="AL14" i="1" s="1"/>
  <c r="AI15" i="1"/>
  <c r="AK15" i="1" s="1"/>
  <c r="AL15" i="1" s="1"/>
  <c r="AI25" i="1"/>
  <c r="AK25" i="1" s="1"/>
  <c r="AL25" i="1" s="1"/>
  <c r="AI26" i="1"/>
  <c r="AK26" i="1" s="1"/>
  <c r="AL26" i="1" s="1"/>
  <c r="AI40" i="1"/>
  <c r="AK40" i="1" s="1"/>
  <c r="AL40" i="1" s="1"/>
  <c r="AD41" i="1"/>
  <c r="AI12" i="1"/>
  <c r="AJ12" i="1" s="1"/>
  <c r="AL12" i="1" s="1"/>
  <c r="AI13" i="1"/>
  <c r="AJ13" i="1" s="1"/>
  <c r="AL13" i="1" s="1"/>
  <c r="AI18" i="1"/>
  <c r="AK18" i="1" s="1"/>
  <c r="AL18" i="1" s="1"/>
  <c r="AI19" i="1"/>
  <c r="AJ19" i="1" s="1"/>
  <c r="AL19" i="1" s="1"/>
  <c r="AI29" i="1"/>
  <c r="AK29" i="1" s="1"/>
  <c r="AL29" i="1" s="1"/>
  <c r="AI30" i="1"/>
  <c r="AK30" i="1" s="1"/>
  <c r="AL30" i="1" s="1"/>
  <c r="AI11" i="1"/>
  <c r="AJ11" i="1" s="1"/>
  <c r="AL11" i="1" s="1"/>
  <c r="BB40" i="1"/>
  <c r="AI16" i="1"/>
  <c r="AJ16" i="1" s="1"/>
  <c r="AL16" i="1" s="1"/>
  <c r="AI17" i="1"/>
  <c r="AJ17" i="1" s="1"/>
  <c r="AL17" i="1" s="1"/>
  <c r="AI20" i="1"/>
  <c r="AK20" i="1" s="1"/>
  <c r="AL20" i="1" s="1"/>
  <c r="AI21" i="1"/>
  <c r="AK21" i="1" s="1"/>
  <c r="AL21" i="1" s="1"/>
  <c r="AI24" i="1"/>
  <c r="AK24" i="1" s="1"/>
  <c r="AL24" i="1" s="1"/>
  <c r="AI27" i="1"/>
  <c r="AK27" i="1" s="1"/>
  <c r="AL27" i="1" s="1"/>
  <c r="AI28" i="1"/>
  <c r="AK28" i="1" s="1"/>
  <c r="AL28" i="1" s="1"/>
  <c r="AI31" i="1"/>
  <c r="AJ31" i="1" s="1"/>
  <c r="AL31" i="1" s="1"/>
  <c r="AI32" i="1"/>
  <c r="AK32" i="1" s="1"/>
  <c r="AL32" i="1" s="1"/>
  <c r="AI35" i="1"/>
  <c r="AJ35" i="1" s="1"/>
  <c r="AL35" i="1" s="1"/>
  <c r="AF37" i="1"/>
  <c r="AG37" i="1" s="1"/>
  <c r="AH37" i="1" s="1"/>
  <c r="AF39" i="1"/>
  <c r="AG39" i="1" s="1"/>
  <c r="AH39" i="1" s="1"/>
  <c r="Y41" i="1"/>
  <c r="AI10" i="1"/>
  <c r="AJ10" i="1" s="1"/>
  <c r="AL10" i="1" s="1"/>
  <c r="BB10" i="1" s="1"/>
  <c r="AF10" i="1"/>
  <c r="AG10" i="1" s="1"/>
  <c r="AH10" i="1" s="1"/>
  <c r="BB11" i="1"/>
  <c r="AF12" i="1"/>
  <c r="AG12" i="1" s="1"/>
  <c r="AH12" i="1" s="1"/>
  <c r="BB13" i="1"/>
  <c r="AF14" i="1"/>
  <c r="AG14" i="1" s="1"/>
  <c r="AH14" i="1" s="1"/>
  <c r="BB15" i="1"/>
  <c r="AF16" i="1"/>
  <c r="AG16" i="1" s="1"/>
  <c r="AH16" i="1" s="1"/>
  <c r="BB17" i="1"/>
  <c r="AF18" i="1"/>
  <c r="AG18" i="1" s="1"/>
  <c r="AH18" i="1" s="1"/>
  <c r="BB19" i="1"/>
  <c r="AF20" i="1"/>
  <c r="AG20" i="1" s="1"/>
  <c r="AH20" i="1" s="1"/>
  <c r="BB21" i="1"/>
  <c r="AF22" i="1"/>
  <c r="AG22" i="1" s="1"/>
  <c r="AH22" i="1" s="1"/>
  <c r="BB23" i="1"/>
  <c r="AF11" i="1"/>
  <c r="AG11" i="1" s="1"/>
  <c r="AH11" i="1" s="1"/>
  <c r="BB12" i="1"/>
  <c r="AF13" i="1"/>
  <c r="AG13" i="1" s="1"/>
  <c r="AH13" i="1" s="1"/>
  <c r="BB14" i="1"/>
  <c r="AF15" i="1"/>
  <c r="AG15" i="1" s="1"/>
  <c r="AH15" i="1" s="1"/>
  <c r="BB16" i="1"/>
  <c r="AF17" i="1"/>
  <c r="AG17" i="1" s="1"/>
  <c r="AH17" i="1" s="1"/>
  <c r="BB18" i="1"/>
  <c r="AF19" i="1"/>
  <c r="AG19" i="1" s="1"/>
  <c r="AH19" i="1" s="1"/>
  <c r="BB20" i="1"/>
  <c r="AF21" i="1"/>
  <c r="AG21" i="1" s="1"/>
  <c r="AH21" i="1" s="1"/>
  <c r="BB22" i="1"/>
  <c r="AF23" i="1"/>
  <c r="AG23" i="1" s="1"/>
  <c r="AH23" i="1" s="1"/>
  <c r="BB24" i="1"/>
  <c r="AF24" i="1"/>
  <c r="AG24" i="1" s="1"/>
  <c r="AH24" i="1" s="1"/>
  <c r="AF25" i="1"/>
  <c r="AG25" i="1" s="1"/>
  <c r="AH25" i="1" s="1"/>
  <c r="BB26" i="1"/>
  <c r="AF27" i="1"/>
  <c r="AG27" i="1" s="1"/>
  <c r="AH27" i="1" s="1"/>
  <c r="BB28" i="1"/>
  <c r="AF29" i="1"/>
  <c r="AG29" i="1" s="1"/>
  <c r="AH29" i="1" s="1"/>
  <c r="BB30" i="1"/>
  <c r="AF31" i="1"/>
  <c r="AG31" i="1" s="1"/>
  <c r="AH31" i="1" s="1"/>
  <c r="BB32" i="1"/>
  <c r="AF33" i="1"/>
  <c r="AG33" i="1" s="1"/>
  <c r="AH33" i="1" s="1"/>
  <c r="BB34" i="1"/>
  <c r="AF35" i="1"/>
  <c r="AG35" i="1" s="1"/>
  <c r="AH35" i="1" s="1"/>
  <c r="AF36" i="1"/>
  <c r="AG36" i="1" s="1"/>
  <c r="AH36" i="1" s="1"/>
  <c r="AI36" i="1"/>
  <c r="AJ36" i="1" s="1"/>
  <c r="AL36" i="1" s="1"/>
  <c r="BB36" i="1" s="1"/>
  <c r="AC41" i="1"/>
  <c r="BB25" i="1"/>
  <c r="AF26" i="1"/>
  <c r="AG26" i="1" s="1"/>
  <c r="AH26" i="1" s="1"/>
  <c r="BB27" i="1"/>
  <c r="AF28" i="1"/>
  <c r="AG28" i="1" s="1"/>
  <c r="AH28" i="1" s="1"/>
  <c r="BB29" i="1"/>
  <c r="AF30" i="1"/>
  <c r="AG30" i="1" s="1"/>
  <c r="AH30" i="1" s="1"/>
  <c r="BB31" i="1"/>
  <c r="AF32" i="1"/>
  <c r="AG32" i="1" s="1"/>
  <c r="AH32" i="1" s="1"/>
  <c r="BB33" i="1"/>
  <c r="AF34" i="1"/>
  <c r="AG34" i="1" s="1"/>
  <c r="AH34" i="1" s="1"/>
  <c r="BB35" i="1"/>
  <c r="AI37" i="1"/>
  <c r="AJ37" i="1" s="1"/>
  <c r="AL37" i="1" s="1"/>
  <c r="BB37" i="1" s="1"/>
  <c r="AI38" i="1"/>
  <c r="AK38" i="1" s="1"/>
  <c r="AL38" i="1" s="1"/>
  <c r="BB38" i="1" s="1"/>
  <c r="AI39" i="1"/>
  <c r="AK39" i="1" s="1"/>
  <c r="AL39" i="1" s="1"/>
  <c r="BB39" i="1" s="1"/>
  <c r="AF40" i="1"/>
  <c r="AG40" i="1" s="1"/>
  <c r="AH40" i="1" s="1"/>
</calcChain>
</file>

<file path=xl/sharedStrings.xml><?xml version="1.0" encoding="utf-8"?>
<sst xmlns="http://schemas.openxmlformats.org/spreadsheetml/2006/main" count="140" uniqueCount="97">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</sst>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5" fontId="0" fillId="0" borderId="0" xfId="0" applyNumberFormat="1" applyFill="1"/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8" fontId="2" fillId="0" borderId="39" xfId="1" applyNumberFormat="1" applyFont="1" applyFill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168" fontId="2" fillId="0" borderId="39" xfId="1" applyNumberFormat="1" applyFont="1" applyBorder="1"/>
    <xf numFmtId="169" fontId="6" fillId="2" borderId="40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8" fontId="2" fillId="13" borderId="39" xfId="1" applyNumberFormat="1" applyFont="1" applyFill="1" applyBorder="1"/>
    <xf numFmtId="173" fontId="6" fillId="13" borderId="13" xfId="1" applyNumberFormat="1" applyFont="1" applyFill="1" applyBorder="1"/>
    <xf numFmtId="169" fontId="6" fillId="13" borderId="40" xfId="1" applyNumberFormat="1" applyFont="1" applyFill="1" applyBorder="1"/>
    <xf numFmtId="169" fontId="6" fillId="0" borderId="40" xfId="1" applyNumberFormat="1" applyFont="1" applyFill="1" applyBorder="1"/>
    <xf numFmtId="167" fontId="2" fillId="13" borderId="39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164" fontId="3" fillId="0" borderId="0" xfId="1" applyFont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2"/>
  <sheetViews>
    <sheetView tabSelected="1" zoomScale="90" zoomScaleNormal="90" zoomScaleSheetLayoutView="70" workbookViewId="0">
      <pane xSplit="1" ySplit="9" topLeftCell="AK10" activePane="bottomRight" state="frozen"/>
      <selection activeCell="A4" sqref="A4:A7"/>
      <selection pane="topRight" activeCell="A4" sqref="A4:A7"/>
      <selection pane="bottomLeft" activeCell="A4" sqref="A4:A7"/>
      <selection pane="bottomRight" activeCell="A21" sqref="A21:XFD21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customWidth="1"/>
    <col min="42" max="42" width="16.90625" customWidth="1"/>
    <col min="43" max="43" width="21.08984375" customWidth="1"/>
    <col min="44" max="44" width="20.453125" customWidth="1"/>
    <col min="45" max="45" width="32" hidden="1" customWidth="1"/>
    <col min="46" max="46" width="27.453125" hidden="1" customWidth="1"/>
    <col min="47" max="47" width="31.54296875" customWidth="1"/>
    <col min="48" max="48" width="15.1796875" customWidth="1"/>
    <col min="49" max="49" width="24" customWidth="1"/>
    <col min="50" max="50" width="16.1796875" customWidth="1"/>
    <col min="51" max="52" width="17.90625" hidden="1" customWidth="1"/>
    <col min="53" max="53" width="14.90625" hidden="1" customWidth="1"/>
    <col min="54" max="54" width="13.90625" customWidth="1"/>
    <col min="55" max="16384" width="9.08984375" style="7"/>
  </cols>
  <sheetData>
    <row r="1" spans="1:54" s="5" customFormat="1" ht="16.5" customHeight="1" x14ac:dyDescent="0.3">
      <c r="A1" s="1"/>
      <c r="B1" s="125" t="s">
        <v>96</v>
      </c>
      <c r="C1" s="125"/>
      <c r="D1" s="125"/>
      <c r="E1" s="125"/>
      <c r="F1" s="125"/>
      <c r="G1" s="125"/>
      <c r="H1" s="12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  <c r="AN1" s="4"/>
      <c r="AO1" s="4"/>
      <c r="AP1" s="4"/>
      <c r="AQ1" s="3"/>
      <c r="AR1" s="2"/>
      <c r="AS1" s="3"/>
      <c r="AT1" s="3"/>
      <c r="AU1" s="4"/>
      <c r="AV1" s="4"/>
      <c r="AW1" s="3"/>
      <c r="AX1" s="1"/>
      <c r="BB1" s="1"/>
    </row>
    <row r="2" spans="1:54" ht="12.75" hidden="1" customHeight="1" x14ac:dyDescent="0.25">
      <c r="B2" s="125"/>
      <c r="C2" s="125"/>
      <c r="D2" s="125"/>
      <c r="E2" s="125"/>
      <c r="F2" s="125"/>
      <c r="G2" s="125"/>
      <c r="H2" s="12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54" ht="13.5" thickBot="1" x14ac:dyDescent="0.35">
      <c r="A3" s="8" t="s">
        <v>0</v>
      </c>
      <c r="B3" s="126"/>
      <c r="C3" s="126"/>
      <c r="D3" s="126"/>
      <c r="E3" s="126"/>
      <c r="F3" s="126"/>
      <c r="G3" s="126"/>
      <c r="H3" s="126"/>
      <c r="I3" s="6"/>
      <c r="J3" s="6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54" ht="13.5" customHeight="1" thickTop="1" x14ac:dyDescent="0.25">
      <c r="A4" s="127" t="s">
        <v>1</v>
      </c>
      <c r="B4" s="130"/>
      <c r="C4" s="131"/>
      <c r="D4" s="131"/>
      <c r="E4" s="131"/>
      <c r="F4" s="131"/>
      <c r="G4" s="131"/>
      <c r="H4" s="132"/>
      <c r="I4" s="133"/>
      <c r="J4" s="134"/>
      <c r="K4" s="134"/>
      <c r="L4" s="134"/>
      <c r="M4" s="134"/>
      <c r="N4" s="134"/>
      <c r="O4" s="134"/>
      <c r="P4" s="134"/>
      <c r="Q4" s="135"/>
      <c r="R4" s="133"/>
      <c r="S4" s="134"/>
      <c r="T4" s="134"/>
      <c r="U4" s="134"/>
      <c r="V4" s="134"/>
      <c r="W4" s="134"/>
      <c r="X4" s="135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6"/>
      <c r="AM4" s="133"/>
      <c r="AN4" s="134"/>
      <c r="AO4" s="134"/>
      <c r="AP4" s="134"/>
      <c r="AQ4" s="134"/>
      <c r="AR4" s="136"/>
      <c r="AS4" s="133"/>
      <c r="AT4" s="134"/>
      <c r="AU4" s="134"/>
      <c r="AV4" s="134"/>
      <c r="AW4" s="134"/>
      <c r="AX4" s="136"/>
      <c r="AY4" s="10"/>
      <c r="AZ4" s="11"/>
      <c r="BA4" s="12"/>
      <c r="BB4" s="13"/>
    </row>
    <row r="5" spans="1:54" ht="13.5" customHeight="1" thickBot="1" x14ac:dyDescent="0.35">
      <c r="A5" s="128"/>
      <c r="B5" s="137"/>
      <c r="C5" s="138"/>
      <c r="D5" s="138"/>
      <c r="E5" s="14" t="s">
        <v>2</v>
      </c>
      <c r="F5" s="15"/>
      <c r="G5" s="16"/>
      <c r="H5" s="17"/>
      <c r="I5" s="18"/>
      <c r="J5" s="19"/>
      <c r="K5" s="20"/>
      <c r="L5" s="21"/>
      <c r="M5" s="22"/>
      <c r="N5" s="14" t="s">
        <v>3</v>
      </c>
      <c r="O5" s="15"/>
      <c r="P5" s="16"/>
      <c r="Q5" s="17"/>
      <c r="R5" s="139"/>
      <c r="S5" s="138"/>
      <c r="T5" s="138"/>
      <c r="U5" s="14" t="s">
        <v>4</v>
      </c>
      <c r="V5" s="15"/>
      <c r="W5" s="16"/>
      <c r="X5" s="17"/>
      <c r="Y5" s="140"/>
      <c r="Z5" s="138"/>
      <c r="AA5" s="138"/>
      <c r="AB5" s="22"/>
      <c r="AC5" s="22"/>
      <c r="AD5" s="22"/>
      <c r="AE5" s="22"/>
      <c r="AF5" s="22"/>
      <c r="AG5" s="22"/>
      <c r="AH5" s="22"/>
      <c r="AI5" s="14" t="s">
        <v>5</v>
      </c>
      <c r="AJ5" s="15"/>
      <c r="AK5" s="16"/>
      <c r="AL5" s="23"/>
      <c r="AM5" s="139"/>
      <c r="AN5" s="138"/>
      <c r="AO5" s="14" t="s">
        <v>6</v>
      </c>
      <c r="AP5" s="15"/>
      <c r="AQ5" s="16"/>
      <c r="AR5" s="23"/>
      <c r="AS5" s="139"/>
      <c r="AT5" s="138"/>
      <c r="AU5" s="14" t="s">
        <v>7</v>
      </c>
      <c r="AV5" s="15"/>
      <c r="AW5" s="16"/>
      <c r="AX5" s="23"/>
      <c r="AY5" s="24" t="s">
        <v>8</v>
      </c>
      <c r="AZ5" s="25"/>
      <c r="BA5" s="26"/>
      <c r="BB5" s="27"/>
    </row>
    <row r="6" spans="1:54" ht="159.75" customHeight="1" thickBot="1" x14ac:dyDescent="0.3">
      <c r="A6" s="128"/>
      <c r="B6" s="28" t="s">
        <v>9</v>
      </c>
      <c r="C6" s="28" t="s">
        <v>10</v>
      </c>
      <c r="D6" s="28" t="s">
        <v>11</v>
      </c>
      <c r="E6" s="28" t="s">
        <v>12</v>
      </c>
      <c r="F6" s="29" t="s">
        <v>13</v>
      </c>
      <c r="G6" s="29" t="s">
        <v>14</v>
      </c>
      <c r="H6" s="30" t="s">
        <v>15</v>
      </c>
      <c r="I6" s="28" t="s">
        <v>16</v>
      </c>
      <c r="J6" s="28" t="s">
        <v>17</v>
      </c>
      <c r="K6" s="28" t="s">
        <v>18</v>
      </c>
      <c r="L6" s="28" t="s">
        <v>19</v>
      </c>
      <c r="M6" s="28" t="s">
        <v>20</v>
      </c>
      <c r="N6" s="28" t="s">
        <v>21</v>
      </c>
      <c r="O6" s="29" t="s">
        <v>13</v>
      </c>
      <c r="P6" s="29" t="s">
        <v>14</v>
      </c>
      <c r="Q6" s="30" t="s">
        <v>15</v>
      </c>
      <c r="R6" s="28" t="s">
        <v>22</v>
      </c>
      <c r="S6" s="28" t="s">
        <v>23</v>
      </c>
      <c r="T6" s="28" t="s">
        <v>24</v>
      </c>
      <c r="U6" s="28" t="s">
        <v>25</v>
      </c>
      <c r="V6" s="29" t="s">
        <v>13</v>
      </c>
      <c r="W6" s="29" t="s">
        <v>14</v>
      </c>
      <c r="X6" s="30" t="s">
        <v>15</v>
      </c>
      <c r="Y6" s="28" t="s">
        <v>26</v>
      </c>
      <c r="Z6" s="28" t="s">
        <v>27</v>
      </c>
      <c r="AA6" s="28" t="s">
        <v>28</v>
      </c>
      <c r="AB6" s="28" t="s">
        <v>29</v>
      </c>
      <c r="AC6" s="28" t="s">
        <v>30</v>
      </c>
      <c r="AD6" s="28" t="s">
        <v>31</v>
      </c>
      <c r="AE6" s="28" t="s">
        <v>32</v>
      </c>
      <c r="AF6" s="31" t="s">
        <v>33</v>
      </c>
      <c r="AG6" s="31" t="s">
        <v>34</v>
      </c>
      <c r="AH6" s="31" t="s">
        <v>35</v>
      </c>
      <c r="AI6" s="28" t="s">
        <v>36</v>
      </c>
      <c r="AJ6" s="29" t="s">
        <v>13</v>
      </c>
      <c r="AK6" s="29" t="s">
        <v>14</v>
      </c>
      <c r="AL6" s="29" t="s">
        <v>15</v>
      </c>
      <c r="AM6" s="32" t="s">
        <v>37</v>
      </c>
      <c r="AN6" s="28" t="s">
        <v>38</v>
      </c>
      <c r="AO6" s="28" t="s">
        <v>39</v>
      </c>
      <c r="AP6" s="29" t="s">
        <v>13</v>
      </c>
      <c r="AQ6" s="29" t="s">
        <v>14</v>
      </c>
      <c r="AR6" s="29" t="s">
        <v>15</v>
      </c>
      <c r="AS6" s="32" t="s">
        <v>40</v>
      </c>
      <c r="AT6" s="28" t="s">
        <v>41</v>
      </c>
      <c r="AU6" s="28" t="s">
        <v>42</v>
      </c>
      <c r="AV6" s="29" t="s">
        <v>13</v>
      </c>
      <c r="AW6" s="29" t="s">
        <v>14</v>
      </c>
      <c r="AX6" s="29" t="s">
        <v>15</v>
      </c>
      <c r="AY6" s="32" t="s">
        <v>43</v>
      </c>
      <c r="AZ6" s="29" t="s">
        <v>13</v>
      </c>
      <c r="BA6" s="30" t="s">
        <v>15</v>
      </c>
      <c r="BB6" s="33" t="s">
        <v>44</v>
      </c>
    </row>
    <row r="7" spans="1:54" ht="53" thickTop="1" thickBot="1" x14ac:dyDescent="0.3">
      <c r="A7" s="129"/>
      <c r="B7" s="34" t="s">
        <v>45</v>
      </c>
      <c r="C7" s="34" t="s">
        <v>46</v>
      </c>
      <c r="D7" s="34" t="s">
        <v>47</v>
      </c>
      <c r="E7" s="34" t="s">
        <v>48</v>
      </c>
      <c r="F7" s="34" t="s">
        <v>49</v>
      </c>
      <c r="G7" s="34" t="s">
        <v>49</v>
      </c>
      <c r="H7" s="35">
        <v>1</v>
      </c>
      <c r="I7" s="34" t="s">
        <v>45</v>
      </c>
      <c r="J7" s="34" t="s">
        <v>46</v>
      </c>
      <c r="K7" s="34" t="s">
        <v>47</v>
      </c>
      <c r="L7" s="34" t="s">
        <v>50</v>
      </c>
      <c r="M7" s="34"/>
      <c r="N7" s="34" t="s">
        <v>51</v>
      </c>
      <c r="O7" s="34" t="s">
        <v>49</v>
      </c>
      <c r="P7" s="34" t="s">
        <v>52</v>
      </c>
      <c r="Q7" s="35">
        <v>1</v>
      </c>
      <c r="R7" s="34" t="s">
        <v>45</v>
      </c>
      <c r="S7" s="34" t="s">
        <v>46</v>
      </c>
      <c r="T7" s="34" t="s">
        <v>47</v>
      </c>
      <c r="U7" s="34" t="s">
        <v>53</v>
      </c>
      <c r="V7" s="34" t="s">
        <v>54</v>
      </c>
      <c r="W7" s="34" t="s">
        <v>54</v>
      </c>
      <c r="X7" s="35">
        <v>1</v>
      </c>
      <c r="Y7" s="34" t="s">
        <v>45</v>
      </c>
      <c r="Z7" s="34" t="s">
        <v>46</v>
      </c>
      <c r="AA7" s="34" t="s">
        <v>47</v>
      </c>
      <c r="AB7" s="34" t="s">
        <v>55</v>
      </c>
      <c r="AC7" s="34" t="s">
        <v>50</v>
      </c>
      <c r="AD7" s="34" t="s">
        <v>56</v>
      </c>
      <c r="AE7" s="34" t="s">
        <v>57</v>
      </c>
      <c r="AF7" s="36"/>
      <c r="AG7" s="36"/>
      <c r="AH7" s="36"/>
      <c r="AI7" s="34" t="s">
        <v>58</v>
      </c>
      <c r="AJ7" s="34" t="s">
        <v>59</v>
      </c>
      <c r="AK7" s="34" t="s">
        <v>60</v>
      </c>
      <c r="AL7" s="34">
        <v>1.5</v>
      </c>
      <c r="AM7" s="34" t="s">
        <v>45</v>
      </c>
      <c r="AN7" s="34" t="s">
        <v>46</v>
      </c>
      <c r="AO7" s="34" t="s">
        <v>61</v>
      </c>
      <c r="AP7" s="34" t="s">
        <v>49</v>
      </c>
      <c r="AQ7" s="34" t="s">
        <v>49</v>
      </c>
      <c r="AR7" s="34">
        <v>1</v>
      </c>
      <c r="AS7" s="34" t="s">
        <v>45</v>
      </c>
      <c r="AT7" s="34" t="s">
        <v>46</v>
      </c>
      <c r="AU7" s="34" t="s">
        <v>61</v>
      </c>
      <c r="AV7" s="34" t="s">
        <v>49</v>
      </c>
      <c r="AW7" s="34" t="s">
        <v>49</v>
      </c>
      <c r="AX7" s="34">
        <v>1</v>
      </c>
      <c r="AY7" s="37" t="s">
        <v>45</v>
      </c>
      <c r="AZ7" s="34">
        <v>1</v>
      </c>
      <c r="BA7" s="38">
        <v>1</v>
      </c>
      <c r="BB7" s="39"/>
    </row>
    <row r="8" spans="1:54" ht="14.5" thickTop="1" thickBot="1" x14ac:dyDescent="0.3">
      <c r="A8" s="40"/>
      <c r="B8" s="41" t="s">
        <v>62</v>
      </c>
      <c r="C8" s="41" t="s">
        <v>62</v>
      </c>
      <c r="D8" s="41" t="s">
        <v>62</v>
      </c>
      <c r="E8" s="41"/>
      <c r="F8" s="41"/>
      <c r="G8" s="41"/>
      <c r="H8" s="42"/>
      <c r="I8" s="43"/>
      <c r="J8" s="41"/>
      <c r="K8" s="41"/>
      <c r="L8" s="44"/>
      <c r="M8" s="44"/>
      <c r="N8" s="41"/>
      <c r="O8" s="41"/>
      <c r="P8" s="41"/>
      <c r="Q8" s="42"/>
      <c r="R8" s="43"/>
      <c r="S8" s="41"/>
      <c r="T8" s="41"/>
      <c r="U8" s="41"/>
      <c r="V8" s="41"/>
      <c r="W8" s="41"/>
      <c r="X8" s="42"/>
      <c r="Y8" s="45" t="s">
        <v>62</v>
      </c>
      <c r="Z8" s="41"/>
      <c r="AA8" s="41"/>
      <c r="AB8" s="44"/>
      <c r="AC8" s="45"/>
      <c r="AD8" s="41"/>
      <c r="AE8" s="41"/>
      <c r="AF8" s="41"/>
      <c r="AG8" s="41"/>
      <c r="AH8" s="41"/>
      <c r="AI8" s="41"/>
      <c r="AJ8" s="41"/>
      <c r="AK8" s="41"/>
      <c r="AL8" s="41"/>
      <c r="AM8" s="46"/>
      <c r="AN8" s="41"/>
      <c r="AO8" s="41"/>
      <c r="AP8" s="41"/>
      <c r="AQ8" s="41"/>
      <c r="AR8" s="41"/>
      <c r="AS8" s="46"/>
      <c r="AT8" s="41"/>
      <c r="AU8" s="41"/>
      <c r="AV8" s="41"/>
      <c r="AW8" s="41"/>
      <c r="AX8" s="41"/>
      <c r="AY8" s="47"/>
      <c r="AZ8" s="41"/>
      <c r="BA8" s="42"/>
      <c r="BB8" s="48"/>
    </row>
    <row r="9" spans="1:54" ht="14" thickTop="1" thickBot="1" x14ac:dyDescent="0.35">
      <c r="A9" s="49"/>
      <c r="B9" s="50"/>
      <c r="C9" s="50"/>
      <c r="D9" s="50"/>
      <c r="E9" s="50"/>
      <c r="F9" s="50"/>
      <c r="G9" s="50"/>
      <c r="H9" s="51"/>
      <c r="I9" s="52"/>
      <c r="J9" s="50"/>
      <c r="K9" s="50"/>
      <c r="L9" s="50"/>
      <c r="M9" s="50"/>
      <c r="N9" s="50"/>
      <c r="O9" s="50"/>
      <c r="P9" s="50"/>
      <c r="Q9" s="51"/>
      <c r="R9" s="52"/>
      <c r="S9" s="50"/>
      <c r="T9" s="50"/>
      <c r="U9" s="50"/>
      <c r="V9" s="50"/>
      <c r="W9" s="50"/>
      <c r="X9" s="51"/>
      <c r="Y9" s="53"/>
      <c r="Z9" s="50"/>
      <c r="AA9" s="50"/>
      <c r="AB9" s="50"/>
      <c r="AC9" s="50"/>
      <c r="AD9" s="50"/>
      <c r="AE9" s="50"/>
      <c r="AF9" s="50"/>
      <c r="AG9" s="50"/>
      <c r="AH9" s="50"/>
      <c r="AI9" s="54" t="s">
        <v>63</v>
      </c>
      <c r="AJ9" s="50"/>
      <c r="AK9" s="50"/>
      <c r="AL9" s="50"/>
      <c r="AM9" s="52"/>
      <c r="AN9" s="50"/>
      <c r="AO9" s="50"/>
      <c r="AP9" s="50"/>
      <c r="AQ9" s="50"/>
      <c r="AR9" s="50"/>
      <c r="AS9" s="52"/>
      <c r="AT9" s="50"/>
      <c r="AU9" s="50"/>
      <c r="AV9" s="50"/>
      <c r="AW9" s="50"/>
      <c r="AX9" s="50"/>
      <c r="AY9" s="52"/>
      <c r="AZ9" s="50"/>
      <c r="BA9" s="51"/>
      <c r="BB9" s="55"/>
    </row>
    <row r="10" spans="1:54" ht="13.5" thickTop="1" x14ac:dyDescent="0.3">
      <c r="A10" s="56" t="s">
        <v>64</v>
      </c>
      <c r="B10" s="57">
        <v>1780723.4</v>
      </c>
      <c r="C10" s="57">
        <v>455105</v>
      </c>
      <c r="D10" s="57">
        <v>1534703</v>
      </c>
      <c r="E10" s="58">
        <f>IF(AND(B10=0,D10=0),0,B10/(IF(C10&gt;0,C10,0)+D10))</f>
        <v>0.89492222365172913</v>
      </c>
      <c r="F10" s="59">
        <f>IF(E10&lt;=1.05,1,0)</f>
        <v>1</v>
      </c>
      <c r="G10" s="60"/>
      <c r="H10" s="61">
        <f t="shared" ref="H10:H40" si="0">F10+G10</f>
        <v>1</v>
      </c>
      <c r="I10" s="62">
        <v>2600119.58</v>
      </c>
      <c r="J10" s="62">
        <v>19322299.48</v>
      </c>
      <c r="K10" s="63">
        <v>15362656.949999999</v>
      </c>
      <c r="L10" s="62">
        <v>288841</v>
      </c>
      <c r="M10" s="64">
        <v>0</v>
      </c>
      <c r="N10" s="65">
        <f>(I10)/(J10-K10-L10)</f>
        <v>0.70832475107963666</v>
      </c>
      <c r="O10" s="59">
        <f t="shared" ref="O10:O16" si="1">IF(N10&lt;=1,1,0)</f>
        <v>1</v>
      </c>
      <c r="P10" s="60"/>
      <c r="Q10" s="61">
        <f t="shared" ref="Q10:Q40" si="2">O10+P10</f>
        <v>1</v>
      </c>
      <c r="R10" s="66">
        <v>91657.600000000006</v>
      </c>
      <c r="S10" s="57">
        <v>19658898.600000001</v>
      </c>
      <c r="T10" s="67">
        <v>4756519.9000000004</v>
      </c>
      <c r="U10" s="58">
        <f>R10/(S10-T10)</f>
        <v>6.150534880716727E-3</v>
      </c>
      <c r="V10" s="59">
        <f t="shared" ref="V10:V16" si="3">IF(U10&lt;=0.15,1,0)</f>
        <v>1</v>
      </c>
      <c r="W10" s="60"/>
      <c r="X10" s="61">
        <f>V10+W10</f>
        <v>1</v>
      </c>
      <c r="Y10" s="57">
        <v>455105</v>
      </c>
      <c r="Z10" s="68"/>
      <c r="AA10" s="69">
        <v>209084.6</v>
      </c>
      <c r="AB10" s="70"/>
      <c r="AC10" s="70">
        <v>19322299.5</v>
      </c>
      <c r="AD10" s="70">
        <v>15362657</v>
      </c>
      <c r="AE10" s="69">
        <v>288841</v>
      </c>
      <c r="AF10" s="70">
        <f>AC10-AD10-AE10</f>
        <v>3670801.5</v>
      </c>
      <c r="AG10" s="70">
        <f t="shared" ref="AG10:AG17" si="4">AF10*10%</f>
        <v>367080.15</v>
      </c>
      <c r="AH10" s="70">
        <f t="shared" ref="AH10:AH15" si="5">IF(AA10&gt;0,AA10,0)+AG10+IF(AB10&gt;0,AB10,0)</f>
        <v>576164.75</v>
      </c>
      <c r="AI10" s="71">
        <f t="shared" ref="AI10:AI40" si="6">IF((Y10-IF(Z10&gt;0,Z10,0)-IF(AA10&gt;0,AA10,0)-IF(AB10&gt;0,AB10,0))/(AC10-AD10-AE10)&gt;0,(Y10-IF(Z10&gt;0,Z10,0)-IF(AA10&gt;0,AA10,0)-IF(AB10&gt;0,AB10,0))/(AC10-AD10-AE10),0)</f>
        <v>6.7020894483125829E-2</v>
      </c>
      <c r="AJ10" s="72">
        <f>IF(AI10&lt;=0.1,1.5,0)</f>
        <v>1.5</v>
      </c>
      <c r="AK10" s="73"/>
      <c r="AL10" s="74">
        <f t="shared" ref="AL10:AL40" si="7">AJ10+AK10</f>
        <v>1.5</v>
      </c>
      <c r="AM10" s="75"/>
      <c r="AN10" s="73"/>
      <c r="AO10" s="71">
        <v>0.93100000000000005</v>
      </c>
      <c r="AP10" s="76">
        <v>1</v>
      </c>
      <c r="AQ10" s="60"/>
      <c r="AR10" s="77">
        <v>1</v>
      </c>
      <c r="AS10" s="75"/>
      <c r="AT10" s="73"/>
      <c r="AU10" s="71">
        <v>0.98499999999999999</v>
      </c>
      <c r="AV10" s="76">
        <v>1</v>
      </c>
      <c r="AW10" s="60"/>
      <c r="AX10" s="77">
        <v>1</v>
      </c>
      <c r="AY10" s="78"/>
      <c r="AZ10" s="79"/>
      <c r="BA10" s="72">
        <f>AZ10</f>
        <v>0</v>
      </c>
      <c r="BB10" s="80">
        <f>H10+Q10+X10+AL10+AR10+AX10+BA10</f>
        <v>6.5</v>
      </c>
    </row>
    <row r="11" spans="1:54" ht="13" x14ac:dyDescent="0.3">
      <c r="A11" s="81" t="s">
        <v>65</v>
      </c>
      <c r="B11" s="57">
        <v>0</v>
      </c>
      <c r="C11" s="57">
        <v>70390.2</v>
      </c>
      <c r="D11" s="57">
        <v>0</v>
      </c>
      <c r="E11" s="58">
        <f t="shared" ref="E11:E40" si="8">IF(AND(B11=0,D11=0),0,B11/(IF(C11&gt;0,C11,0)+D11))</f>
        <v>0</v>
      </c>
      <c r="F11" s="82">
        <f t="shared" ref="F11:F17" si="9">IF(E11&lt;=1.05,1,0)</f>
        <v>1</v>
      </c>
      <c r="G11" s="60"/>
      <c r="H11" s="61">
        <f t="shared" si="0"/>
        <v>1</v>
      </c>
      <c r="I11" s="62">
        <v>49500</v>
      </c>
      <c r="J11" s="62">
        <v>1966535.15</v>
      </c>
      <c r="K11" s="63">
        <v>1343888.23</v>
      </c>
      <c r="L11" s="62">
        <v>330433</v>
      </c>
      <c r="M11" s="64">
        <v>0</v>
      </c>
      <c r="N11" s="58">
        <f t="shared" ref="N11:N40" si="10">(I11)/(J11-K11-L11)</f>
        <v>0.16939644764356199</v>
      </c>
      <c r="O11" s="59">
        <f t="shared" si="1"/>
        <v>1</v>
      </c>
      <c r="P11" s="60"/>
      <c r="Q11" s="61">
        <f t="shared" si="2"/>
        <v>1</v>
      </c>
      <c r="R11" s="83">
        <v>49.5</v>
      </c>
      <c r="S11" s="57">
        <v>2032348.4</v>
      </c>
      <c r="T11" s="67">
        <v>618096.30000000005</v>
      </c>
      <c r="U11" s="58">
        <f t="shared" ref="U11:U40" si="11">R11/(S11-T11)</f>
        <v>3.5000831888458927E-5</v>
      </c>
      <c r="V11" s="59">
        <f t="shared" si="3"/>
        <v>1</v>
      </c>
      <c r="W11" s="60"/>
      <c r="X11" s="61">
        <f t="shared" ref="X11:X40" si="12">V11+W11</f>
        <v>1</v>
      </c>
      <c r="Y11" s="57">
        <v>70390.2</v>
      </c>
      <c r="Z11" s="69"/>
      <c r="AA11" s="69">
        <v>70390.2</v>
      </c>
      <c r="AB11" s="70"/>
      <c r="AC11" s="70">
        <v>1966535.2</v>
      </c>
      <c r="AD11" s="70">
        <v>1343888.2</v>
      </c>
      <c r="AE11" s="69">
        <v>330433</v>
      </c>
      <c r="AF11" s="70">
        <f t="shared" ref="AF11:AF40" si="13">AC11-AD11-AE11</f>
        <v>292214</v>
      </c>
      <c r="AG11" s="70">
        <f t="shared" si="4"/>
        <v>29221.4</v>
      </c>
      <c r="AH11" s="70">
        <f t="shared" si="5"/>
        <v>99611.6</v>
      </c>
      <c r="AI11" s="71">
        <f t="shared" si="6"/>
        <v>0</v>
      </c>
      <c r="AJ11" s="72">
        <f t="shared" ref="AJ11:AJ17" si="14">IF(AI11&lt;=0.1,1.5,0)</f>
        <v>1.5</v>
      </c>
      <c r="AK11" s="60"/>
      <c r="AL11" s="61">
        <f t="shared" si="7"/>
        <v>1.5</v>
      </c>
      <c r="AM11" s="75"/>
      <c r="AN11" s="73"/>
      <c r="AO11" s="71">
        <v>0.997</v>
      </c>
      <c r="AP11" s="76">
        <v>1</v>
      </c>
      <c r="AQ11" s="60"/>
      <c r="AR11" s="77">
        <v>1</v>
      </c>
      <c r="AS11" s="75"/>
      <c r="AT11" s="73"/>
      <c r="AU11" s="71">
        <v>0.88900000000000001</v>
      </c>
      <c r="AV11" s="76">
        <v>1</v>
      </c>
      <c r="AW11" s="60"/>
      <c r="AX11" s="77">
        <v>1</v>
      </c>
      <c r="AY11" s="78"/>
      <c r="AZ11" s="79"/>
      <c r="BA11" s="72">
        <f t="shared" ref="BA11:BA40" si="15">AZ11</f>
        <v>0</v>
      </c>
      <c r="BB11" s="80">
        <f>H11+Q11+X11+AL11+AR11+AX11+BA11</f>
        <v>6.5</v>
      </c>
    </row>
    <row r="12" spans="1:54" ht="13" x14ac:dyDescent="0.3">
      <c r="A12" s="81" t="s">
        <v>66</v>
      </c>
      <c r="B12" s="57">
        <v>0</v>
      </c>
      <c r="C12" s="57">
        <v>14232.2</v>
      </c>
      <c r="D12" s="57">
        <v>0</v>
      </c>
      <c r="E12" s="58">
        <f t="shared" si="8"/>
        <v>0</v>
      </c>
      <c r="F12" s="59">
        <f t="shared" si="9"/>
        <v>1</v>
      </c>
      <c r="G12" s="60"/>
      <c r="H12" s="61">
        <f t="shared" si="0"/>
        <v>1</v>
      </c>
      <c r="I12" s="62">
        <v>41000</v>
      </c>
      <c r="J12" s="62">
        <v>1289180.1100000001</v>
      </c>
      <c r="K12" s="63">
        <v>944142.11</v>
      </c>
      <c r="L12" s="62">
        <v>149117</v>
      </c>
      <c r="M12" s="64">
        <v>0</v>
      </c>
      <c r="N12" s="58">
        <f t="shared" si="10"/>
        <v>0.20926802129429706</v>
      </c>
      <c r="O12" s="59">
        <f t="shared" si="1"/>
        <v>1</v>
      </c>
      <c r="P12" s="60"/>
      <c r="Q12" s="61">
        <f t="shared" si="2"/>
        <v>1</v>
      </c>
      <c r="R12" s="83">
        <v>41</v>
      </c>
      <c r="S12" s="57">
        <v>1295761.8999999999</v>
      </c>
      <c r="T12" s="67">
        <v>509218.1</v>
      </c>
      <c r="U12" s="58">
        <f t="shared" si="11"/>
        <v>5.2126785564897978E-5</v>
      </c>
      <c r="V12" s="59">
        <f t="shared" si="3"/>
        <v>1</v>
      </c>
      <c r="W12" s="60"/>
      <c r="X12" s="61">
        <f t="shared" si="12"/>
        <v>1</v>
      </c>
      <c r="Y12" s="57">
        <v>14232.2</v>
      </c>
      <c r="Z12" s="69"/>
      <c r="AA12" s="69">
        <v>14232.2</v>
      </c>
      <c r="AB12" s="70"/>
      <c r="AC12" s="70">
        <v>1289180.1000000001</v>
      </c>
      <c r="AD12" s="70">
        <v>944142.1</v>
      </c>
      <c r="AE12" s="69">
        <v>149117</v>
      </c>
      <c r="AF12" s="70">
        <f t="shared" si="13"/>
        <v>195921.00000000012</v>
      </c>
      <c r="AG12" s="70">
        <f t="shared" si="4"/>
        <v>19592.100000000013</v>
      </c>
      <c r="AH12" s="70">
        <f t="shared" si="5"/>
        <v>33824.300000000017</v>
      </c>
      <c r="AI12" s="71">
        <f t="shared" si="6"/>
        <v>0</v>
      </c>
      <c r="AJ12" s="72">
        <f t="shared" si="14"/>
        <v>1.5</v>
      </c>
      <c r="AK12" s="60"/>
      <c r="AL12" s="61">
        <f t="shared" si="7"/>
        <v>1.5</v>
      </c>
      <c r="AM12" s="75"/>
      <c r="AN12" s="73"/>
      <c r="AO12" s="85">
        <v>0.93100000000000005</v>
      </c>
      <c r="AP12" s="76">
        <v>1</v>
      </c>
      <c r="AQ12" s="60"/>
      <c r="AR12" s="77">
        <v>1</v>
      </c>
      <c r="AS12" s="75"/>
      <c r="AT12" s="73"/>
      <c r="AU12" s="85">
        <v>0.84599999999999997</v>
      </c>
      <c r="AV12" s="76">
        <v>1</v>
      </c>
      <c r="AW12" s="60"/>
      <c r="AX12" s="77">
        <v>1</v>
      </c>
      <c r="AY12" s="78"/>
      <c r="AZ12" s="79"/>
      <c r="BA12" s="72">
        <f t="shared" si="15"/>
        <v>0</v>
      </c>
      <c r="BB12" s="80">
        <f>H12+Q12+X12+AL12+AR12+AX12+BA12</f>
        <v>6.5</v>
      </c>
    </row>
    <row r="13" spans="1:54" s="6" customFormat="1" ht="13" x14ac:dyDescent="0.3">
      <c r="A13" s="84" t="s">
        <v>67</v>
      </c>
      <c r="B13" s="57">
        <v>0</v>
      </c>
      <c r="C13" s="57">
        <v>12622.6</v>
      </c>
      <c r="D13" s="57">
        <v>0</v>
      </c>
      <c r="E13" s="65">
        <f t="shared" si="8"/>
        <v>0</v>
      </c>
      <c r="F13" s="59">
        <f t="shared" si="9"/>
        <v>1</v>
      </c>
      <c r="G13" s="73"/>
      <c r="H13" s="74">
        <f t="shared" si="0"/>
        <v>1</v>
      </c>
      <c r="I13" s="62">
        <v>7000</v>
      </c>
      <c r="J13" s="62">
        <v>566416.78</v>
      </c>
      <c r="K13" s="63">
        <v>404680.94</v>
      </c>
      <c r="L13" s="62">
        <v>89025</v>
      </c>
      <c r="M13" s="57">
        <v>0</v>
      </c>
      <c r="N13" s="65">
        <f t="shared" si="10"/>
        <v>9.6271752602500496E-2</v>
      </c>
      <c r="O13" s="59">
        <f t="shared" si="1"/>
        <v>1</v>
      </c>
      <c r="P13" s="73"/>
      <c r="Q13" s="74">
        <f t="shared" si="2"/>
        <v>1</v>
      </c>
      <c r="R13" s="83">
        <v>7</v>
      </c>
      <c r="S13" s="57">
        <v>526819.6</v>
      </c>
      <c r="T13" s="67">
        <v>195383.7</v>
      </c>
      <c r="U13" s="65">
        <f t="shared" si="11"/>
        <v>2.112022264335276E-5</v>
      </c>
      <c r="V13" s="59">
        <f t="shared" si="3"/>
        <v>1</v>
      </c>
      <c r="W13" s="73"/>
      <c r="X13" s="74">
        <f t="shared" si="12"/>
        <v>1</v>
      </c>
      <c r="Y13" s="57">
        <v>12622.6</v>
      </c>
      <c r="Z13" s="69"/>
      <c r="AA13" s="69">
        <v>12622.6</v>
      </c>
      <c r="AB13" s="69"/>
      <c r="AC13" s="69">
        <v>566416.80000000005</v>
      </c>
      <c r="AD13" s="69">
        <v>404680.9</v>
      </c>
      <c r="AE13" s="69">
        <v>89025</v>
      </c>
      <c r="AF13" s="69">
        <f t="shared" si="13"/>
        <v>72710.900000000023</v>
      </c>
      <c r="AG13" s="70">
        <f>AF13*5%</f>
        <v>3635.5450000000014</v>
      </c>
      <c r="AH13" s="69">
        <f t="shared" si="5"/>
        <v>16258.145000000002</v>
      </c>
      <c r="AI13" s="85">
        <f t="shared" si="6"/>
        <v>0</v>
      </c>
      <c r="AJ13" s="72">
        <f t="shared" si="14"/>
        <v>1.5</v>
      </c>
      <c r="AK13" s="86"/>
      <c r="AL13" s="74">
        <f t="shared" si="7"/>
        <v>1.5</v>
      </c>
      <c r="AM13" s="75"/>
      <c r="AN13" s="73"/>
      <c r="AO13" s="85">
        <v>0.97599999999999998</v>
      </c>
      <c r="AP13" s="76">
        <v>1</v>
      </c>
      <c r="AQ13" s="86"/>
      <c r="AR13" s="87">
        <v>1</v>
      </c>
      <c r="AS13" s="75"/>
      <c r="AT13" s="73"/>
      <c r="AU13" s="85">
        <v>0.94899999999999995</v>
      </c>
      <c r="AV13" s="76">
        <v>1</v>
      </c>
      <c r="AW13" s="86"/>
      <c r="AX13" s="87">
        <v>1</v>
      </c>
      <c r="AY13" s="78"/>
      <c r="AZ13" s="79"/>
      <c r="BA13" s="72">
        <f t="shared" si="15"/>
        <v>0</v>
      </c>
      <c r="BB13" s="80">
        <f>H13+Q13+X13+AL13+AR13+AX13+BA13</f>
        <v>6.5</v>
      </c>
    </row>
    <row r="14" spans="1:54" ht="13" x14ac:dyDescent="0.3">
      <c r="A14" s="81" t="s">
        <v>68</v>
      </c>
      <c r="B14" s="88">
        <v>0</v>
      </c>
      <c r="C14" s="88">
        <v>19203.099999999999</v>
      </c>
      <c r="D14" s="88">
        <v>0</v>
      </c>
      <c r="E14" s="65">
        <f>IF(AND(B14=0,D14=0),0,B14/(IF(C14&gt;0,C14,0)+D14))</f>
        <v>0</v>
      </c>
      <c r="F14" s="59">
        <f>IF(E14&lt;=1.05,1,0)</f>
        <v>1</v>
      </c>
      <c r="G14" s="60"/>
      <c r="H14" s="61">
        <f>F14+G14</f>
        <v>1</v>
      </c>
      <c r="I14" s="62">
        <v>19500</v>
      </c>
      <c r="J14" s="89">
        <v>979986.33</v>
      </c>
      <c r="K14" s="63">
        <v>875394.38</v>
      </c>
      <c r="L14" s="62">
        <v>48051</v>
      </c>
      <c r="M14" s="88">
        <v>0</v>
      </c>
      <c r="N14" s="65">
        <f t="shared" si="10"/>
        <v>0.34488277964908648</v>
      </c>
      <c r="O14" s="59">
        <f>IF(N14&lt;=1,1,0)</f>
        <v>1</v>
      </c>
      <c r="P14" s="60"/>
      <c r="Q14" s="61">
        <f>O14+P14</f>
        <v>1</v>
      </c>
      <c r="R14" s="90">
        <v>19.5</v>
      </c>
      <c r="S14" s="88">
        <v>999189.5</v>
      </c>
      <c r="T14" s="67">
        <v>141827.1</v>
      </c>
      <c r="U14" s="58">
        <f>R14/(S14-T14)</f>
        <v>2.2744174458781956E-5</v>
      </c>
      <c r="V14" s="59">
        <f>IF(U14&lt;=0.15,1,0)</f>
        <v>1</v>
      </c>
      <c r="W14" s="60"/>
      <c r="X14" s="61">
        <f>V14+W14</f>
        <v>1</v>
      </c>
      <c r="Y14" s="88">
        <v>19203.099999999999</v>
      </c>
      <c r="Z14" s="70"/>
      <c r="AA14" s="70">
        <v>19203.099999999999</v>
      </c>
      <c r="AB14" s="70"/>
      <c r="AC14" s="70">
        <v>979986.3</v>
      </c>
      <c r="AD14" s="70">
        <v>875394.4</v>
      </c>
      <c r="AE14" s="69">
        <v>48051</v>
      </c>
      <c r="AF14" s="70">
        <f>AC14-AD14-AE14</f>
        <v>56540.900000000023</v>
      </c>
      <c r="AG14" s="70">
        <f>AF14*10%</f>
        <v>5654.0900000000029</v>
      </c>
      <c r="AH14" s="70">
        <f>IF(AA14&gt;0,AA14,0)+AG14+IF(AB14&gt;0,AB14,0)</f>
        <v>24857.190000000002</v>
      </c>
      <c r="AI14" s="91">
        <f>IF((Y14-IF(Z14&gt;0,Z14,0)-IF(AA14&gt;0,AA14,0)-IF(AB14&gt;0,AB14,0))/(AC14-AD14-AE14)&gt;0,(Y14-IF(Z14&gt;0,Z14,0)-IF(AA14&gt;0,AA14,0)-IF(AB14&gt;0,AB14,0))/(AC14-AD14-AE14),0)</f>
        <v>0</v>
      </c>
      <c r="AJ14" s="72">
        <f>IF(AI14&lt;=0.1,1.5,0)</f>
        <v>1.5</v>
      </c>
      <c r="AK14" s="60"/>
      <c r="AL14" s="61">
        <f>AJ14+AK14</f>
        <v>1.5</v>
      </c>
      <c r="AM14" s="92"/>
      <c r="AN14" s="60"/>
      <c r="AO14" s="71">
        <v>0.877</v>
      </c>
      <c r="AP14" s="76">
        <v>1</v>
      </c>
      <c r="AQ14" s="60"/>
      <c r="AR14" s="77">
        <v>1</v>
      </c>
      <c r="AS14" s="92"/>
      <c r="AT14" s="60"/>
      <c r="AU14" s="71">
        <v>0.76300000000000001</v>
      </c>
      <c r="AV14" s="76">
        <v>1</v>
      </c>
      <c r="AW14" s="60"/>
      <c r="AX14" s="77">
        <v>1</v>
      </c>
      <c r="AY14" s="78"/>
      <c r="AZ14" s="79"/>
      <c r="BA14" s="72">
        <f>AZ14</f>
        <v>0</v>
      </c>
      <c r="BB14" s="93">
        <f t="shared" ref="BB14:BB40" si="16">H14+Q14+X14+AL14+AR14+AX14+BA14</f>
        <v>6.5</v>
      </c>
    </row>
    <row r="15" spans="1:54" s="6" customFormat="1" ht="13" x14ac:dyDescent="0.3">
      <c r="A15" s="94" t="s">
        <v>69</v>
      </c>
      <c r="B15" s="95">
        <v>0</v>
      </c>
      <c r="C15" s="95">
        <v>21299.200000000001</v>
      </c>
      <c r="D15" s="95">
        <v>0</v>
      </c>
      <c r="E15" s="96">
        <f t="shared" si="8"/>
        <v>0</v>
      </c>
      <c r="F15" s="97"/>
      <c r="G15" s="98">
        <f>IF(E15&lt;=1.05,1,0)</f>
        <v>1</v>
      </c>
      <c r="H15" s="99">
        <f t="shared" si="0"/>
        <v>1</v>
      </c>
      <c r="I15" s="100">
        <v>0</v>
      </c>
      <c r="J15" s="100">
        <v>559776.36</v>
      </c>
      <c r="K15" s="101">
        <v>431017.93</v>
      </c>
      <c r="L15" s="100">
        <v>94354</v>
      </c>
      <c r="M15" s="95">
        <v>0</v>
      </c>
      <c r="N15" s="96">
        <f t="shared" si="10"/>
        <v>0</v>
      </c>
      <c r="O15" s="97"/>
      <c r="P15" s="98">
        <f>IF(N15&lt;=0.5,1,0)</f>
        <v>1</v>
      </c>
      <c r="Q15" s="99">
        <f t="shared" si="2"/>
        <v>1</v>
      </c>
      <c r="R15" s="102">
        <v>0</v>
      </c>
      <c r="S15" s="95">
        <v>581075.6</v>
      </c>
      <c r="T15" s="103">
        <v>188069.6</v>
      </c>
      <c r="U15" s="96">
        <f t="shared" si="11"/>
        <v>0</v>
      </c>
      <c r="V15" s="97"/>
      <c r="W15" s="98">
        <f>IF(U15&lt;=0.15,1,0)</f>
        <v>1</v>
      </c>
      <c r="X15" s="99">
        <f t="shared" si="12"/>
        <v>1</v>
      </c>
      <c r="Y15" s="95">
        <v>21299.200000000001</v>
      </c>
      <c r="Z15" s="104"/>
      <c r="AA15" s="104">
        <v>21299.200000000001</v>
      </c>
      <c r="AB15" s="104"/>
      <c r="AC15" s="104">
        <v>559776.4</v>
      </c>
      <c r="AD15" s="104">
        <v>431017.9</v>
      </c>
      <c r="AE15" s="104">
        <v>94354</v>
      </c>
      <c r="AF15" s="104">
        <f t="shared" si="13"/>
        <v>34404.5</v>
      </c>
      <c r="AG15" s="104">
        <f>AF15*5%</f>
        <v>1720.2250000000001</v>
      </c>
      <c r="AH15" s="104">
        <f t="shared" si="5"/>
        <v>23019.424999999999</v>
      </c>
      <c r="AI15" s="105">
        <f t="shared" si="6"/>
        <v>0</v>
      </c>
      <c r="AJ15" s="106"/>
      <c r="AK15" s="107">
        <f>IF(AI15&lt;=0.05,1.5,0)</f>
        <v>1.5</v>
      </c>
      <c r="AL15" s="99">
        <f t="shared" si="7"/>
        <v>1.5</v>
      </c>
      <c r="AM15" s="108"/>
      <c r="AN15" s="98"/>
      <c r="AO15" s="105">
        <v>0.92700000000000005</v>
      </c>
      <c r="AP15" s="106"/>
      <c r="AQ15" s="107">
        <v>1</v>
      </c>
      <c r="AR15" s="109">
        <v>1</v>
      </c>
      <c r="AS15" s="108"/>
      <c r="AT15" s="98"/>
      <c r="AU15" s="105">
        <v>0.97699999999999998</v>
      </c>
      <c r="AV15" s="106"/>
      <c r="AW15" s="107">
        <v>1</v>
      </c>
      <c r="AX15" s="109">
        <v>1</v>
      </c>
      <c r="AY15" s="78"/>
      <c r="AZ15" s="79"/>
      <c r="BA15" s="72">
        <f t="shared" si="15"/>
        <v>0</v>
      </c>
      <c r="BB15" s="110">
        <f t="shared" si="16"/>
        <v>6.5</v>
      </c>
    </row>
    <row r="16" spans="1:54" s="6" customFormat="1" ht="13" x14ac:dyDescent="0.3">
      <c r="A16" s="84" t="s">
        <v>70</v>
      </c>
      <c r="B16" s="57">
        <v>0</v>
      </c>
      <c r="C16" s="57">
        <v>133806.5</v>
      </c>
      <c r="D16" s="57">
        <v>0</v>
      </c>
      <c r="E16" s="65">
        <f t="shared" si="8"/>
        <v>0</v>
      </c>
      <c r="F16" s="59">
        <f t="shared" si="9"/>
        <v>1</v>
      </c>
      <c r="G16" s="73"/>
      <c r="H16" s="74">
        <f t="shared" si="0"/>
        <v>1</v>
      </c>
      <c r="I16" s="62">
        <v>55000</v>
      </c>
      <c r="J16" s="62">
        <v>1926364.52</v>
      </c>
      <c r="K16" s="63">
        <v>1310417.82</v>
      </c>
      <c r="L16" s="62">
        <v>321760</v>
      </c>
      <c r="M16" s="57">
        <v>0</v>
      </c>
      <c r="N16" s="65">
        <f t="shared" si="10"/>
        <v>0.18695610644532878</v>
      </c>
      <c r="O16" s="59">
        <f t="shared" si="1"/>
        <v>1</v>
      </c>
      <c r="P16" s="73"/>
      <c r="Q16" s="74">
        <f t="shared" si="2"/>
        <v>1</v>
      </c>
      <c r="R16" s="83">
        <v>55</v>
      </c>
      <c r="S16" s="57">
        <v>2053573</v>
      </c>
      <c r="T16" s="67">
        <v>865616</v>
      </c>
      <c r="U16" s="65">
        <f t="shared" si="11"/>
        <v>4.6297972064645439E-5</v>
      </c>
      <c r="V16" s="59">
        <f t="shared" si="3"/>
        <v>1</v>
      </c>
      <c r="W16" s="73"/>
      <c r="X16" s="74">
        <f t="shared" si="12"/>
        <v>1</v>
      </c>
      <c r="Y16" s="57">
        <v>133806.5</v>
      </c>
      <c r="Z16" s="69"/>
      <c r="AA16" s="69">
        <v>133806.5</v>
      </c>
      <c r="AB16" s="69"/>
      <c r="AC16" s="69">
        <v>1926364.5</v>
      </c>
      <c r="AD16" s="69">
        <v>1310417.8</v>
      </c>
      <c r="AE16" s="69">
        <v>321760</v>
      </c>
      <c r="AF16" s="69">
        <f t="shared" si="13"/>
        <v>294186.69999999995</v>
      </c>
      <c r="AG16" s="70">
        <f t="shared" si="4"/>
        <v>29418.67</v>
      </c>
      <c r="AH16" s="69">
        <f>IF(AA16&gt;0,AA16,0)+AG16+IF(AB16&gt;0,AB16,0)</f>
        <v>163225.16999999998</v>
      </c>
      <c r="AI16" s="85">
        <f t="shared" si="6"/>
        <v>0</v>
      </c>
      <c r="AJ16" s="72">
        <f t="shared" si="14"/>
        <v>1.5</v>
      </c>
      <c r="AK16" s="73"/>
      <c r="AL16" s="74">
        <f t="shared" si="7"/>
        <v>1.5</v>
      </c>
      <c r="AM16" s="75"/>
      <c r="AN16" s="73"/>
      <c r="AO16" s="85">
        <v>0.876</v>
      </c>
      <c r="AP16" s="76">
        <v>1</v>
      </c>
      <c r="AQ16" s="73"/>
      <c r="AR16" s="87">
        <v>1</v>
      </c>
      <c r="AS16" s="75"/>
      <c r="AT16" s="73"/>
      <c r="AU16" s="85">
        <v>0.98499999999999999</v>
      </c>
      <c r="AV16" s="76">
        <v>1</v>
      </c>
      <c r="AW16" s="73"/>
      <c r="AX16" s="87">
        <v>1</v>
      </c>
      <c r="AY16" s="78"/>
      <c r="AZ16" s="79"/>
      <c r="BA16" s="72">
        <f t="shared" si="15"/>
        <v>0</v>
      </c>
      <c r="BB16" s="111">
        <f t="shared" si="16"/>
        <v>6.5</v>
      </c>
    </row>
    <row r="17" spans="1:54" s="6" customFormat="1" ht="13" x14ac:dyDescent="0.3">
      <c r="A17" s="84" t="s">
        <v>71</v>
      </c>
      <c r="B17" s="57">
        <v>0</v>
      </c>
      <c r="C17" s="57">
        <v>19027</v>
      </c>
      <c r="D17" s="57">
        <v>0</v>
      </c>
      <c r="E17" s="65">
        <f t="shared" si="8"/>
        <v>0</v>
      </c>
      <c r="F17" s="59">
        <f t="shared" si="9"/>
        <v>1</v>
      </c>
      <c r="G17" s="73"/>
      <c r="H17" s="74">
        <f t="shared" si="0"/>
        <v>1</v>
      </c>
      <c r="I17" s="62">
        <v>0</v>
      </c>
      <c r="J17" s="62">
        <v>541464.88</v>
      </c>
      <c r="K17" s="63">
        <v>365737.88</v>
      </c>
      <c r="L17" s="62">
        <v>56952</v>
      </c>
      <c r="M17" s="57">
        <v>0</v>
      </c>
      <c r="N17" s="65">
        <f t="shared" si="10"/>
        <v>0</v>
      </c>
      <c r="O17" s="59">
        <f>IF(N17&lt;=1,1,0)</f>
        <v>1</v>
      </c>
      <c r="P17" s="73"/>
      <c r="Q17" s="74">
        <f>O17+P17</f>
        <v>1</v>
      </c>
      <c r="R17" s="83">
        <v>0</v>
      </c>
      <c r="S17" s="57">
        <v>559216.69999999995</v>
      </c>
      <c r="T17" s="67">
        <v>213032.8</v>
      </c>
      <c r="U17" s="65">
        <f t="shared" si="11"/>
        <v>0</v>
      </c>
      <c r="V17" s="59">
        <f>IF(U17&lt;=0.15,1,0)</f>
        <v>1</v>
      </c>
      <c r="W17" s="73"/>
      <c r="X17" s="74">
        <f t="shared" si="12"/>
        <v>1</v>
      </c>
      <c r="Y17" s="57">
        <v>19027</v>
      </c>
      <c r="Z17" s="69"/>
      <c r="AA17" s="69">
        <v>19027</v>
      </c>
      <c r="AB17" s="69"/>
      <c r="AC17" s="69">
        <v>541464.9</v>
      </c>
      <c r="AD17" s="69">
        <v>365737.9</v>
      </c>
      <c r="AE17" s="69">
        <v>56952</v>
      </c>
      <c r="AF17" s="69">
        <f t="shared" si="13"/>
        <v>118775</v>
      </c>
      <c r="AG17" s="70">
        <f t="shared" si="4"/>
        <v>11877.5</v>
      </c>
      <c r="AH17" s="69">
        <f t="shared" ref="AH17:AH40" si="17">IF(AA17&gt;0,AA17,0)+AG17+IF(AB17&gt;0,AB17,0)</f>
        <v>30904.5</v>
      </c>
      <c r="AI17" s="85">
        <f t="shared" si="6"/>
        <v>0</v>
      </c>
      <c r="AJ17" s="72">
        <f t="shared" si="14"/>
        <v>1.5</v>
      </c>
      <c r="AK17" s="73"/>
      <c r="AL17" s="74">
        <f t="shared" si="7"/>
        <v>1.5</v>
      </c>
      <c r="AM17" s="75"/>
      <c r="AN17" s="73"/>
      <c r="AO17" s="85">
        <v>0.99099999999999999</v>
      </c>
      <c r="AP17" s="76">
        <v>1</v>
      </c>
      <c r="AQ17" s="73"/>
      <c r="AR17" s="87">
        <v>1</v>
      </c>
      <c r="AS17" s="75"/>
      <c r="AT17" s="73"/>
      <c r="AU17" s="85">
        <v>0.97899999999999998</v>
      </c>
      <c r="AV17" s="76">
        <v>1</v>
      </c>
      <c r="AW17" s="73"/>
      <c r="AX17" s="87">
        <v>1</v>
      </c>
      <c r="AY17" s="78"/>
      <c r="AZ17" s="79"/>
      <c r="BA17" s="72">
        <f t="shared" si="15"/>
        <v>0</v>
      </c>
      <c r="BB17" s="111">
        <f t="shared" si="16"/>
        <v>6.5</v>
      </c>
    </row>
    <row r="18" spans="1:54" s="6" customFormat="1" ht="13" x14ac:dyDescent="0.3">
      <c r="A18" s="94" t="s">
        <v>72</v>
      </c>
      <c r="B18" s="95">
        <v>0</v>
      </c>
      <c r="C18" s="95">
        <v>26339.9</v>
      </c>
      <c r="D18" s="95">
        <v>0</v>
      </c>
      <c r="E18" s="96">
        <f>IF(AND(B18=0,D18=0),0,B18/(IF(C18&gt;0,C18,0)+D18))</f>
        <v>0</v>
      </c>
      <c r="F18" s="97"/>
      <c r="G18" s="98">
        <f>IF(E18&lt;=1.05,1,0)</f>
        <v>1</v>
      </c>
      <c r="H18" s="99">
        <f>F18+G18</f>
        <v>1</v>
      </c>
      <c r="I18" s="100">
        <v>0</v>
      </c>
      <c r="J18" s="100">
        <v>278042.69</v>
      </c>
      <c r="K18" s="101">
        <v>232943</v>
      </c>
      <c r="L18" s="100">
        <v>26483</v>
      </c>
      <c r="M18" s="95">
        <v>0</v>
      </c>
      <c r="N18" s="96">
        <f t="shared" si="10"/>
        <v>0</v>
      </c>
      <c r="O18" s="97"/>
      <c r="P18" s="98">
        <f>IF(N18&lt;=0.5,1,0)</f>
        <v>1</v>
      </c>
      <c r="Q18" s="99">
        <f>O18+P18</f>
        <v>1</v>
      </c>
      <c r="R18" s="112">
        <v>0</v>
      </c>
      <c r="S18" s="95">
        <v>304382.59999999998</v>
      </c>
      <c r="T18" s="103">
        <v>152554.20000000001</v>
      </c>
      <c r="U18" s="96">
        <f>R18/(S18-T18)</f>
        <v>0</v>
      </c>
      <c r="V18" s="97"/>
      <c r="W18" s="98">
        <f>IF(U18&lt;=0.15,1,0)</f>
        <v>1</v>
      </c>
      <c r="X18" s="99">
        <f>V18+W18</f>
        <v>1</v>
      </c>
      <c r="Y18" s="95">
        <v>26339.9</v>
      </c>
      <c r="Z18" s="104"/>
      <c r="AA18" s="104">
        <v>26339.9</v>
      </c>
      <c r="AB18" s="104"/>
      <c r="AC18" s="104">
        <v>278042.7</v>
      </c>
      <c r="AD18" s="104">
        <v>232943</v>
      </c>
      <c r="AE18" s="104">
        <v>26483</v>
      </c>
      <c r="AF18" s="104">
        <f>AC18-AD18-AE18</f>
        <v>18616.700000000012</v>
      </c>
      <c r="AG18" s="104">
        <f>AF18*10%</f>
        <v>1861.6700000000012</v>
      </c>
      <c r="AH18" s="104">
        <f>IF(AA18&gt;0,AA18,0)+AG18+IF(AB18&gt;0,AB18,0)</f>
        <v>28201.570000000003</v>
      </c>
      <c r="AI18" s="105">
        <f>IF((Y18-IF(Z18&gt;0,Z18,0)-IF(AA18&gt;0,AA18,0)-IF(AB18&gt;0,AB18,0))/(AC18-AD18-AE18)&gt;0,(Y18-IF(Z18&gt;0,Z18,0)-IF(AA18&gt;0,AA18,0)-IF(AB18&gt;0,AB18,0))/(AC18-AD18-AE18),0)</f>
        <v>0</v>
      </c>
      <c r="AJ18" s="106"/>
      <c r="AK18" s="107">
        <f>IF(AI18&lt;=0.05,1.5,0)</f>
        <v>1.5</v>
      </c>
      <c r="AL18" s="99">
        <f>AJ18+AK18</f>
        <v>1.5</v>
      </c>
      <c r="AM18" s="108"/>
      <c r="AN18" s="98"/>
      <c r="AO18" s="105">
        <v>0.72299999999999998</v>
      </c>
      <c r="AP18" s="106"/>
      <c r="AQ18" s="107">
        <v>1</v>
      </c>
      <c r="AR18" s="109">
        <v>1</v>
      </c>
      <c r="AS18" s="108"/>
      <c r="AT18" s="98"/>
      <c r="AU18" s="105">
        <v>0.752</v>
      </c>
      <c r="AV18" s="106"/>
      <c r="AW18" s="107">
        <v>1</v>
      </c>
      <c r="AX18" s="109">
        <v>1</v>
      </c>
      <c r="AY18" s="78"/>
      <c r="AZ18" s="79"/>
      <c r="BA18" s="72">
        <f>AZ18</f>
        <v>0</v>
      </c>
      <c r="BB18" s="110">
        <f t="shared" si="16"/>
        <v>6.5</v>
      </c>
    </row>
    <row r="19" spans="1:54" s="6" customFormat="1" ht="13" x14ac:dyDescent="0.3">
      <c r="A19" s="84" t="s">
        <v>73</v>
      </c>
      <c r="B19" s="57">
        <v>0</v>
      </c>
      <c r="C19" s="57">
        <v>8675.2999999999993</v>
      </c>
      <c r="D19" s="57">
        <v>0</v>
      </c>
      <c r="E19" s="65">
        <f>IF(AND(B19=0,D19=0),0,B19/(IF(C19&gt;0,C19,0)+D19))</f>
        <v>0</v>
      </c>
      <c r="F19" s="59">
        <f>IF(E19&lt;=1.05,1,0)</f>
        <v>1</v>
      </c>
      <c r="G19" s="73"/>
      <c r="H19" s="74">
        <f>F19+G19</f>
        <v>1</v>
      </c>
      <c r="I19" s="62">
        <v>0</v>
      </c>
      <c r="J19" s="62">
        <v>424061.21</v>
      </c>
      <c r="K19" s="63">
        <v>300140.21000000002</v>
      </c>
      <c r="L19" s="62">
        <v>75510</v>
      </c>
      <c r="M19" s="57">
        <v>0</v>
      </c>
      <c r="N19" s="65">
        <f t="shared" si="10"/>
        <v>0</v>
      </c>
      <c r="O19" s="59">
        <f>IF(N19&lt;=1,1,0)</f>
        <v>1</v>
      </c>
      <c r="P19" s="73"/>
      <c r="Q19" s="74">
        <f>O19+P19</f>
        <v>1</v>
      </c>
      <c r="R19" s="83">
        <v>0</v>
      </c>
      <c r="S19" s="57">
        <v>432736.5</v>
      </c>
      <c r="T19" s="67">
        <v>205262.9</v>
      </c>
      <c r="U19" s="65">
        <f>R19/(S19-T19)</f>
        <v>0</v>
      </c>
      <c r="V19" s="59">
        <f>IF(U19&lt;=0.15,1,0)</f>
        <v>1</v>
      </c>
      <c r="W19" s="73"/>
      <c r="X19" s="74">
        <f>V19+W19</f>
        <v>1</v>
      </c>
      <c r="Y19" s="57">
        <v>8675.2999999999993</v>
      </c>
      <c r="Z19" s="69"/>
      <c r="AA19" s="69">
        <v>8675.2999999999993</v>
      </c>
      <c r="AB19" s="69"/>
      <c r="AC19" s="69">
        <v>424061.2</v>
      </c>
      <c r="AD19" s="69">
        <v>300140.2</v>
      </c>
      <c r="AE19" s="69">
        <v>75510</v>
      </c>
      <c r="AF19" s="69">
        <f>AC19-AD19-AE19</f>
        <v>48411</v>
      </c>
      <c r="AG19" s="70">
        <f>AF19*10%</f>
        <v>4841.1000000000004</v>
      </c>
      <c r="AH19" s="69">
        <f>IF(AA19&gt;0,AA19,0)+AG19+IF(AB19&gt;0,AB19,0)</f>
        <v>13516.4</v>
      </c>
      <c r="AI19" s="85">
        <f>IF((Y19-IF(Z19&gt;0,Z19,0)-IF(AA19&gt;0,AA19,0)-IF(AB19&gt;0,AB19,0))/(AC19-AD19-AE19)&gt;0,(Y19-IF(Z19&gt;0,Z19,0)-IF(AA19&gt;0,AA19,0)-IF(AB19&gt;0,AB19,0))/(AC19-AD19-AE19),0)</f>
        <v>0</v>
      </c>
      <c r="AJ19" s="72">
        <f>IF(AI19&lt;=0.1,1.5,0)</f>
        <v>1.5</v>
      </c>
      <c r="AK19" s="73"/>
      <c r="AL19" s="74">
        <f>AJ19+AK19</f>
        <v>1.5</v>
      </c>
      <c r="AM19" s="75"/>
      <c r="AN19" s="73"/>
      <c r="AO19" s="85">
        <v>0.89500000000000002</v>
      </c>
      <c r="AP19" s="76">
        <v>1</v>
      </c>
      <c r="AQ19" s="73"/>
      <c r="AR19" s="87">
        <v>1</v>
      </c>
      <c r="AS19" s="75"/>
      <c r="AT19" s="73"/>
      <c r="AU19" s="85">
        <v>0.95099999999999996</v>
      </c>
      <c r="AV19" s="76">
        <v>1</v>
      </c>
      <c r="AW19" s="73"/>
      <c r="AX19" s="87">
        <v>1</v>
      </c>
      <c r="AY19" s="78"/>
      <c r="AZ19" s="79"/>
      <c r="BA19" s="72">
        <f>AZ19</f>
        <v>0</v>
      </c>
      <c r="BB19" s="111">
        <f t="shared" si="16"/>
        <v>6.5</v>
      </c>
    </row>
    <row r="20" spans="1:54" ht="13" x14ac:dyDescent="0.3">
      <c r="A20" s="94" t="s">
        <v>74</v>
      </c>
      <c r="B20" s="95">
        <v>0</v>
      </c>
      <c r="C20" s="95">
        <v>19400</v>
      </c>
      <c r="D20" s="95">
        <v>0</v>
      </c>
      <c r="E20" s="96">
        <f>IF(AND(B20=0,D20=0),0,B20/(IF(C20&gt;0,C20,0)+D20))</f>
        <v>0</v>
      </c>
      <c r="F20" s="97"/>
      <c r="G20" s="98">
        <f>IF(E20&lt;=1.05,1,0)</f>
        <v>1</v>
      </c>
      <c r="H20" s="99">
        <f>F20+G20</f>
        <v>1</v>
      </c>
      <c r="I20" s="100">
        <v>24000</v>
      </c>
      <c r="J20" s="100">
        <v>1396815.86</v>
      </c>
      <c r="K20" s="101">
        <v>1036938.11</v>
      </c>
      <c r="L20" s="100">
        <v>290413</v>
      </c>
      <c r="M20" s="95">
        <v>0</v>
      </c>
      <c r="N20" s="96">
        <f t="shared" si="10"/>
        <v>0.34549897609938796</v>
      </c>
      <c r="O20" s="97"/>
      <c r="P20" s="98">
        <f>IF(N20&lt;=0.5,1,0)</f>
        <v>1</v>
      </c>
      <c r="Q20" s="99">
        <f>O20+P20</f>
        <v>1</v>
      </c>
      <c r="R20" s="112">
        <v>24</v>
      </c>
      <c r="S20" s="95">
        <v>1416215.8</v>
      </c>
      <c r="T20" s="103">
        <v>550622.80000000005</v>
      </c>
      <c r="U20" s="96">
        <f>R20/(S20-T20)</f>
        <v>2.7726656754386879E-5</v>
      </c>
      <c r="V20" s="97"/>
      <c r="W20" s="98">
        <f>IF(U20&lt;=0.15,1,0)</f>
        <v>1</v>
      </c>
      <c r="X20" s="99">
        <f>V20+W20</f>
        <v>1</v>
      </c>
      <c r="Y20" s="95">
        <v>19400</v>
      </c>
      <c r="Z20" s="104"/>
      <c r="AA20" s="104">
        <v>19400</v>
      </c>
      <c r="AB20" s="104"/>
      <c r="AC20" s="104">
        <v>1396815.9</v>
      </c>
      <c r="AD20" s="104">
        <v>1036938.1</v>
      </c>
      <c r="AE20" s="104">
        <v>290413</v>
      </c>
      <c r="AF20" s="104">
        <f>AC20-AD20-AE20</f>
        <v>69464.79999999993</v>
      </c>
      <c r="AG20" s="104">
        <f>AF20*10%</f>
        <v>6946.4799999999932</v>
      </c>
      <c r="AH20" s="104">
        <f>IF(AA20&gt;0,AA20,0)+AG20+IF(AB20&gt;0,AB20,0)</f>
        <v>26346.479999999992</v>
      </c>
      <c r="AI20" s="105">
        <f>IF((Y20-IF(Z20&gt;0,Z20,0)-IF(AA20&gt;0,AA20,0)-IF(AB20&gt;0,AB20,0))/(AC20-AD20-AE20)&gt;0,(Y20-IF(Z20&gt;0,Z20,0)-IF(AA20&gt;0,AA20,0)-IF(AB20&gt;0,AB20,0))/(AC20-AD20-AE20),0)</f>
        <v>0</v>
      </c>
      <c r="AJ20" s="106"/>
      <c r="AK20" s="107">
        <f>IF(AI20&lt;=0.05,1.5,0)</f>
        <v>1.5</v>
      </c>
      <c r="AL20" s="99">
        <f>AJ20+AK20</f>
        <v>1.5</v>
      </c>
      <c r="AM20" s="108"/>
      <c r="AN20" s="98"/>
      <c r="AO20" s="105">
        <v>0.97399999999999998</v>
      </c>
      <c r="AP20" s="106"/>
      <c r="AQ20" s="107">
        <v>1</v>
      </c>
      <c r="AR20" s="109">
        <v>1</v>
      </c>
      <c r="AS20" s="108"/>
      <c r="AT20" s="98"/>
      <c r="AU20" s="105">
        <v>0.86299999999999999</v>
      </c>
      <c r="AV20" s="106"/>
      <c r="AW20" s="107">
        <v>1</v>
      </c>
      <c r="AX20" s="109">
        <v>1</v>
      </c>
      <c r="AY20" s="78"/>
      <c r="AZ20" s="79"/>
      <c r="BA20" s="72">
        <f>AZ20</f>
        <v>0</v>
      </c>
      <c r="BB20" s="110">
        <f t="shared" si="16"/>
        <v>6.5</v>
      </c>
    </row>
    <row r="21" spans="1:54" s="6" customFormat="1" ht="13" x14ac:dyDescent="0.3">
      <c r="A21" s="94" t="s">
        <v>75</v>
      </c>
      <c r="B21" s="95">
        <v>0</v>
      </c>
      <c r="C21" s="95">
        <v>8335.7000000000007</v>
      </c>
      <c r="D21" s="95">
        <v>0</v>
      </c>
      <c r="E21" s="96">
        <f t="shared" si="8"/>
        <v>0</v>
      </c>
      <c r="F21" s="97"/>
      <c r="G21" s="98">
        <f t="shared" ref="G21:G39" si="18">IF(E21&lt;=1.05,1,0)</f>
        <v>1</v>
      </c>
      <c r="H21" s="99">
        <f t="shared" si="0"/>
        <v>1</v>
      </c>
      <c r="I21" s="100">
        <v>0</v>
      </c>
      <c r="J21" s="100">
        <v>217394.64</v>
      </c>
      <c r="K21" s="101">
        <v>147191.29999999999</v>
      </c>
      <c r="L21" s="100">
        <v>38960</v>
      </c>
      <c r="M21" s="95">
        <v>0</v>
      </c>
      <c r="N21" s="96">
        <f t="shared" si="10"/>
        <v>0</v>
      </c>
      <c r="O21" s="97"/>
      <c r="P21" s="98">
        <f t="shared" ref="P21:P39" si="19">IF(N21&lt;=0.5,1,0)</f>
        <v>1</v>
      </c>
      <c r="Q21" s="99">
        <f t="shared" si="2"/>
        <v>1</v>
      </c>
      <c r="R21" s="112">
        <v>0</v>
      </c>
      <c r="S21" s="95">
        <v>225510.3</v>
      </c>
      <c r="T21" s="103">
        <v>100786.1</v>
      </c>
      <c r="U21" s="96">
        <f t="shared" si="11"/>
        <v>0</v>
      </c>
      <c r="V21" s="97"/>
      <c r="W21" s="98">
        <f t="shared" ref="W21:W39" si="20">IF(U21&lt;=0.15,1,0)</f>
        <v>1</v>
      </c>
      <c r="X21" s="99">
        <f t="shared" si="12"/>
        <v>1</v>
      </c>
      <c r="Y21" s="95">
        <v>8335.7000000000007</v>
      </c>
      <c r="Z21" s="104"/>
      <c r="AA21" s="104">
        <v>8335.7000000000007</v>
      </c>
      <c r="AB21" s="104"/>
      <c r="AC21" s="104">
        <v>217394.6</v>
      </c>
      <c r="AD21" s="104">
        <v>147191.29999999999</v>
      </c>
      <c r="AE21" s="104">
        <v>38960</v>
      </c>
      <c r="AF21" s="104">
        <f t="shared" si="13"/>
        <v>31243.300000000017</v>
      </c>
      <c r="AG21" s="104">
        <f>AF21*5%</f>
        <v>1562.1650000000009</v>
      </c>
      <c r="AH21" s="104">
        <f t="shared" si="17"/>
        <v>9897.8650000000016</v>
      </c>
      <c r="AI21" s="105">
        <f t="shared" si="6"/>
        <v>0</v>
      </c>
      <c r="AJ21" s="97"/>
      <c r="AK21" s="107">
        <f t="shared" ref="AK21:AK34" si="21">IF(AI21&lt;=0.05,1.5,0)</f>
        <v>1.5</v>
      </c>
      <c r="AL21" s="99">
        <f t="shared" si="7"/>
        <v>1.5</v>
      </c>
      <c r="AM21" s="108"/>
      <c r="AN21" s="98"/>
      <c r="AO21" s="105">
        <v>0.79900000000000004</v>
      </c>
      <c r="AP21" s="97"/>
      <c r="AQ21" s="107">
        <v>1</v>
      </c>
      <c r="AR21" s="109">
        <v>1</v>
      </c>
      <c r="AS21" s="108"/>
      <c r="AT21" s="98"/>
      <c r="AU21" s="105">
        <v>0.82199999999999995</v>
      </c>
      <c r="AV21" s="97"/>
      <c r="AW21" s="107">
        <v>1</v>
      </c>
      <c r="AX21" s="109">
        <v>1</v>
      </c>
      <c r="AY21" s="78"/>
      <c r="AZ21" s="79"/>
      <c r="BA21" s="72">
        <f t="shared" si="15"/>
        <v>0</v>
      </c>
      <c r="BB21" s="110">
        <f t="shared" si="16"/>
        <v>6.5</v>
      </c>
    </row>
    <row r="22" spans="1:54" s="6" customFormat="1" ht="13" x14ac:dyDescent="0.3">
      <c r="A22" s="84" t="s">
        <v>76</v>
      </c>
      <c r="B22" s="57">
        <v>0</v>
      </c>
      <c r="C22" s="57">
        <v>38945.199999999997</v>
      </c>
      <c r="D22" s="57">
        <v>0</v>
      </c>
      <c r="E22" s="65">
        <f>IF(AND(B22=0,D22=0),0,B22/(IF(C22&gt;0,C22,0)+D22))</f>
        <v>0</v>
      </c>
      <c r="F22" s="59">
        <f>IF(E22&lt;=1.05,1,0)</f>
        <v>1</v>
      </c>
      <c r="G22" s="73"/>
      <c r="H22" s="74">
        <f>F22+G22</f>
        <v>1</v>
      </c>
      <c r="I22" s="62">
        <v>0</v>
      </c>
      <c r="J22" s="62">
        <v>1187174.1599999999</v>
      </c>
      <c r="K22" s="63">
        <v>899563.54</v>
      </c>
      <c r="L22" s="62">
        <v>130855</v>
      </c>
      <c r="M22" s="57">
        <v>0</v>
      </c>
      <c r="N22" s="65">
        <f t="shared" si="10"/>
        <v>0</v>
      </c>
      <c r="O22" s="59">
        <f>IF(N22&lt;=1,1,0)</f>
        <v>1</v>
      </c>
      <c r="P22" s="73"/>
      <c r="Q22" s="74">
        <f>O22+P22</f>
        <v>1</v>
      </c>
      <c r="R22" s="83">
        <v>0</v>
      </c>
      <c r="S22" s="57">
        <v>1226119.3</v>
      </c>
      <c r="T22" s="67">
        <v>460536.7</v>
      </c>
      <c r="U22" s="65">
        <f>R22/(S22-T22)</f>
        <v>0</v>
      </c>
      <c r="V22" s="59">
        <f>IF(U22&lt;=0.15,1,0)</f>
        <v>1</v>
      </c>
      <c r="W22" s="73"/>
      <c r="X22" s="74">
        <f>V22+W22</f>
        <v>1</v>
      </c>
      <c r="Y22" s="57">
        <v>38945.199999999997</v>
      </c>
      <c r="Z22" s="69"/>
      <c r="AA22" s="69">
        <v>38945.199999999997</v>
      </c>
      <c r="AB22" s="69"/>
      <c r="AC22" s="69">
        <v>1187174.2</v>
      </c>
      <c r="AD22" s="69">
        <v>899563.5</v>
      </c>
      <c r="AE22" s="69">
        <v>130855</v>
      </c>
      <c r="AF22" s="69">
        <f>AC22-AD22-AE22</f>
        <v>156755.69999999995</v>
      </c>
      <c r="AG22" s="70">
        <f>AF22*10%</f>
        <v>15675.569999999996</v>
      </c>
      <c r="AH22" s="69">
        <f>IF(AA22&gt;0,AA22,0)+AG22+IF(AB22&gt;0,AB22,0)</f>
        <v>54620.76999999999</v>
      </c>
      <c r="AI22" s="85">
        <f>IF((Y22-IF(Z22&gt;0,Z22,0)-IF(AA22&gt;0,AA22,0)-IF(AB22&gt;0,AB22,0))/(AC22-AD22-AE22)&gt;0,(Y22-IF(Z22&gt;0,Z22,0)-IF(AA22&gt;0,AA22,0)-IF(AB22&gt;0,AB22,0))/(AC22-AD22-AE22),0)</f>
        <v>0</v>
      </c>
      <c r="AJ22" s="72">
        <f>IF(AI22&lt;=0.1,1.5,0)</f>
        <v>1.5</v>
      </c>
      <c r="AK22" s="73"/>
      <c r="AL22" s="74">
        <f>AJ22+AK22</f>
        <v>1.5</v>
      </c>
      <c r="AM22" s="75"/>
      <c r="AN22" s="73"/>
      <c r="AO22" s="85">
        <v>0.79800000000000004</v>
      </c>
      <c r="AP22" s="76">
        <v>1</v>
      </c>
      <c r="AQ22" s="73"/>
      <c r="AR22" s="87">
        <v>1</v>
      </c>
      <c r="AS22" s="75"/>
      <c r="AT22" s="73"/>
      <c r="AU22" s="85">
        <v>0.745</v>
      </c>
      <c r="AV22" s="76">
        <v>1</v>
      </c>
      <c r="AW22" s="73"/>
      <c r="AX22" s="87">
        <v>1</v>
      </c>
      <c r="AY22" s="78"/>
      <c r="AZ22" s="79"/>
      <c r="BA22" s="72">
        <f>AZ22</f>
        <v>0</v>
      </c>
      <c r="BB22" s="111">
        <f t="shared" si="16"/>
        <v>6.5</v>
      </c>
    </row>
    <row r="23" spans="1:54" s="6" customFormat="1" ht="13" x14ac:dyDescent="0.3">
      <c r="A23" s="94" t="s">
        <v>77</v>
      </c>
      <c r="B23" s="95">
        <v>0</v>
      </c>
      <c r="C23" s="95">
        <v>7927.9</v>
      </c>
      <c r="D23" s="95">
        <v>0</v>
      </c>
      <c r="E23" s="96">
        <f t="shared" si="8"/>
        <v>0</v>
      </c>
      <c r="F23" s="97"/>
      <c r="G23" s="98">
        <f t="shared" si="18"/>
        <v>1</v>
      </c>
      <c r="H23" s="99">
        <f t="shared" si="0"/>
        <v>1</v>
      </c>
      <c r="I23" s="100">
        <v>0</v>
      </c>
      <c r="J23" s="100">
        <v>346385.78</v>
      </c>
      <c r="K23" s="101">
        <v>278059.21999999997</v>
      </c>
      <c r="L23" s="100">
        <v>53062</v>
      </c>
      <c r="M23" s="95">
        <v>0</v>
      </c>
      <c r="N23" s="96">
        <f t="shared" si="10"/>
        <v>0</v>
      </c>
      <c r="O23" s="97"/>
      <c r="P23" s="98">
        <f t="shared" si="19"/>
        <v>1</v>
      </c>
      <c r="Q23" s="99">
        <f t="shared" si="2"/>
        <v>1</v>
      </c>
      <c r="R23" s="112">
        <v>0</v>
      </c>
      <c r="S23" s="95">
        <v>353985.7</v>
      </c>
      <c r="T23" s="103">
        <v>143443.79999999999</v>
      </c>
      <c r="U23" s="96">
        <f t="shared" si="11"/>
        <v>0</v>
      </c>
      <c r="V23" s="97"/>
      <c r="W23" s="98">
        <f t="shared" si="20"/>
        <v>1</v>
      </c>
      <c r="X23" s="99">
        <f t="shared" si="12"/>
        <v>1</v>
      </c>
      <c r="Y23" s="95">
        <v>7927.9</v>
      </c>
      <c r="Z23" s="104"/>
      <c r="AA23" s="104">
        <v>7927.9</v>
      </c>
      <c r="AB23" s="104"/>
      <c r="AC23" s="104">
        <v>346385.8</v>
      </c>
      <c r="AD23" s="104">
        <v>278059.2</v>
      </c>
      <c r="AE23" s="104">
        <v>53062</v>
      </c>
      <c r="AF23" s="104">
        <f t="shared" si="13"/>
        <v>15264.599999999977</v>
      </c>
      <c r="AG23" s="104">
        <f>AF23*5%</f>
        <v>763.22999999999888</v>
      </c>
      <c r="AH23" s="104">
        <f t="shared" si="17"/>
        <v>8691.1299999999992</v>
      </c>
      <c r="AI23" s="105">
        <f t="shared" si="6"/>
        <v>0</v>
      </c>
      <c r="AJ23" s="97"/>
      <c r="AK23" s="107">
        <f t="shared" si="21"/>
        <v>1.5</v>
      </c>
      <c r="AL23" s="99">
        <f t="shared" si="7"/>
        <v>1.5</v>
      </c>
      <c r="AM23" s="108"/>
      <c r="AN23" s="98"/>
      <c r="AO23" s="105">
        <v>0.78600000000000003</v>
      </c>
      <c r="AP23" s="97"/>
      <c r="AQ23" s="107">
        <v>1</v>
      </c>
      <c r="AR23" s="109">
        <v>1</v>
      </c>
      <c r="AS23" s="108"/>
      <c r="AT23" s="98"/>
      <c r="AU23" s="105">
        <v>0.92300000000000004</v>
      </c>
      <c r="AV23" s="97"/>
      <c r="AW23" s="107">
        <v>1</v>
      </c>
      <c r="AX23" s="109">
        <v>1</v>
      </c>
      <c r="AY23" s="78"/>
      <c r="AZ23" s="79"/>
      <c r="BA23" s="72">
        <f t="shared" si="15"/>
        <v>0</v>
      </c>
      <c r="BB23" s="110">
        <f t="shared" si="16"/>
        <v>6.5</v>
      </c>
    </row>
    <row r="24" spans="1:54" s="6" customFormat="1" ht="13" x14ac:dyDescent="0.3">
      <c r="A24" s="94" t="s">
        <v>78</v>
      </c>
      <c r="B24" s="95">
        <v>0</v>
      </c>
      <c r="C24" s="95">
        <v>23996</v>
      </c>
      <c r="D24" s="95">
        <v>0</v>
      </c>
      <c r="E24" s="96">
        <f t="shared" si="8"/>
        <v>0</v>
      </c>
      <c r="F24" s="97"/>
      <c r="G24" s="98">
        <f t="shared" si="18"/>
        <v>1</v>
      </c>
      <c r="H24" s="99">
        <f t="shared" si="0"/>
        <v>1</v>
      </c>
      <c r="I24" s="100">
        <v>0</v>
      </c>
      <c r="J24" s="100">
        <v>864642.38</v>
      </c>
      <c r="K24" s="101">
        <v>625025.88</v>
      </c>
      <c r="L24" s="100">
        <v>181909</v>
      </c>
      <c r="M24" s="95">
        <v>0</v>
      </c>
      <c r="N24" s="96">
        <f t="shared" si="10"/>
        <v>0</v>
      </c>
      <c r="O24" s="97"/>
      <c r="P24" s="98">
        <f t="shared" si="19"/>
        <v>1</v>
      </c>
      <c r="Q24" s="99">
        <f t="shared" si="2"/>
        <v>1</v>
      </c>
      <c r="R24" s="112">
        <v>0</v>
      </c>
      <c r="S24" s="95">
        <v>888638.4</v>
      </c>
      <c r="T24" s="103">
        <v>333601.2</v>
      </c>
      <c r="U24" s="96">
        <f t="shared" si="11"/>
        <v>0</v>
      </c>
      <c r="V24" s="97"/>
      <c r="W24" s="98">
        <f t="shared" si="20"/>
        <v>1</v>
      </c>
      <c r="X24" s="99">
        <f t="shared" si="12"/>
        <v>1</v>
      </c>
      <c r="Y24" s="95">
        <v>23996</v>
      </c>
      <c r="Z24" s="104"/>
      <c r="AA24" s="104">
        <v>23996</v>
      </c>
      <c r="AB24" s="104"/>
      <c r="AC24" s="104">
        <v>864642.4</v>
      </c>
      <c r="AD24" s="104">
        <v>625025.9</v>
      </c>
      <c r="AE24" s="104">
        <v>181909</v>
      </c>
      <c r="AF24" s="104">
        <f t="shared" si="13"/>
        <v>57707.5</v>
      </c>
      <c r="AG24" s="104">
        <f>AF24*10%</f>
        <v>5770.75</v>
      </c>
      <c r="AH24" s="104">
        <f t="shared" si="17"/>
        <v>29766.75</v>
      </c>
      <c r="AI24" s="105">
        <f t="shared" si="6"/>
        <v>0</v>
      </c>
      <c r="AJ24" s="106"/>
      <c r="AK24" s="107">
        <f t="shared" si="21"/>
        <v>1.5</v>
      </c>
      <c r="AL24" s="99">
        <f t="shared" si="7"/>
        <v>1.5</v>
      </c>
      <c r="AM24" s="108"/>
      <c r="AN24" s="98"/>
      <c r="AO24" s="105">
        <v>0.90600000000000003</v>
      </c>
      <c r="AP24" s="106"/>
      <c r="AQ24" s="107">
        <v>1</v>
      </c>
      <c r="AR24" s="109">
        <v>1</v>
      </c>
      <c r="AS24" s="108"/>
      <c r="AT24" s="98"/>
      <c r="AU24" s="105">
        <v>0.97499999999999998</v>
      </c>
      <c r="AV24" s="106"/>
      <c r="AW24" s="107">
        <v>1</v>
      </c>
      <c r="AX24" s="109">
        <v>1</v>
      </c>
      <c r="AY24" s="78"/>
      <c r="AZ24" s="79"/>
      <c r="BA24" s="72">
        <f t="shared" si="15"/>
        <v>0</v>
      </c>
      <c r="BB24" s="110">
        <f t="shared" si="16"/>
        <v>6.5</v>
      </c>
    </row>
    <row r="25" spans="1:54" s="6" customFormat="1" ht="13" x14ac:dyDescent="0.3">
      <c r="A25" s="94" t="s">
        <v>79</v>
      </c>
      <c r="B25" s="95">
        <v>0</v>
      </c>
      <c r="C25" s="95">
        <v>0</v>
      </c>
      <c r="D25" s="95">
        <v>0</v>
      </c>
      <c r="E25" s="96">
        <f t="shared" si="8"/>
        <v>0</v>
      </c>
      <c r="F25" s="97"/>
      <c r="G25" s="98">
        <f t="shared" si="18"/>
        <v>1</v>
      </c>
      <c r="H25" s="99">
        <f t="shared" si="0"/>
        <v>1</v>
      </c>
      <c r="I25" s="100">
        <v>0</v>
      </c>
      <c r="J25" s="100">
        <v>348962.6</v>
      </c>
      <c r="K25" s="101">
        <v>263283.5</v>
      </c>
      <c r="L25" s="100">
        <v>65454</v>
      </c>
      <c r="M25" s="95">
        <v>0</v>
      </c>
      <c r="N25" s="96">
        <f t="shared" si="10"/>
        <v>0</v>
      </c>
      <c r="O25" s="97"/>
      <c r="P25" s="98">
        <f t="shared" si="19"/>
        <v>1</v>
      </c>
      <c r="Q25" s="99">
        <f t="shared" si="2"/>
        <v>1</v>
      </c>
      <c r="R25" s="112">
        <v>0</v>
      </c>
      <c r="S25" s="95">
        <v>348293.2</v>
      </c>
      <c r="T25" s="103">
        <v>144426.9</v>
      </c>
      <c r="U25" s="96">
        <f t="shared" si="11"/>
        <v>0</v>
      </c>
      <c r="V25" s="97"/>
      <c r="W25" s="98">
        <f t="shared" si="20"/>
        <v>1</v>
      </c>
      <c r="X25" s="99">
        <f t="shared" si="12"/>
        <v>1</v>
      </c>
      <c r="Y25" s="95">
        <v>0</v>
      </c>
      <c r="Z25" s="104"/>
      <c r="AA25" s="104">
        <v>0</v>
      </c>
      <c r="AB25" s="104"/>
      <c r="AC25" s="104">
        <v>348962.6</v>
      </c>
      <c r="AD25" s="104">
        <v>263283.5</v>
      </c>
      <c r="AE25" s="104">
        <v>65454</v>
      </c>
      <c r="AF25" s="104">
        <f t="shared" si="13"/>
        <v>20225.099999999977</v>
      </c>
      <c r="AG25" s="104">
        <f t="shared" ref="AG25:AG32" si="22">AF25*5%</f>
        <v>1011.2549999999989</v>
      </c>
      <c r="AH25" s="104">
        <f t="shared" si="17"/>
        <v>1011.2549999999989</v>
      </c>
      <c r="AI25" s="105">
        <f t="shared" si="6"/>
        <v>0</v>
      </c>
      <c r="AJ25" s="106"/>
      <c r="AK25" s="107">
        <f t="shared" si="21"/>
        <v>1.5</v>
      </c>
      <c r="AL25" s="99">
        <f t="shared" si="7"/>
        <v>1.5</v>
      </c>
      <c r="AM25" s="108"/>
      <c r="AN25" s="98"/>
      <c r="AO25" s="105">
        <v>0.92400000000000004</v>
      </c>
      <c r="AP25" s="106"/>
      <c r="AQ25" s="107">
        <v>1</v>
      </c>
      <c r="AR25" s="109">
        <v>1</v>
      </c>
      <c r="AS25" s="108"/>
      <c r="AT25" s="98"/>
      <c r="AU25" s="105">
        <v>0.92800000000000005</v>
      </c>
      <c r="AV25" s="106"/>
      <c r="AW25" s="107">
        <v>1</v>
      </c>
      <c r="AX25" s="109">
        <v>1</v>
      </c>
      <c r="AY25" s="78"/>
      <c r="AZ25" s="79"/>
      <c r="BA25" s="72">
        <f t="shared" si="15"/>
        <v>0</v>
      </c>
      <c r="BB25" s="110">
        <f t="shared" si="16"/>
        <v>6.5</v>
      </c>
    </row>
    <row r="26" spans="1:54" s="6" customFormat="1" ht="13" x14ac:dyDescent="0.3">
      <c r="A26" s="94" t="s">
        <v>80</v>
      </c>
      <c r="B26" s="95">
        <v>0</v>
      </c>
      <c r="C26" s="95">
        <v>18107</v>
      </c>
      <c r="D26" s="95">
        <v>0</v>
      </c>
      <c r="E26" s="96">
        <f t="shared" si="8"/>
        <v>0</v>
      </c>
      <c r="F26" s="97"/>
      <c r="G26" s="98">
        <f t="shared" si="18"/>
        <v>1</v>
      </c>
      <c r="H26" s="99">
        <f t="shared" si="0"/>
        <v>1</v>
      </c>
      <c r="I26" s="100">
        <v>0</v>
      </c>
      <c r="J26" s="100">
        <v>1037278.34</v>
      </c>
      <c r="K26" s="101">
        <v>807304.18</v>
      </c>
      <c r="L26" s="100">
        <v>163113</v>
      </c>
      <c r="M26" s="95">
        <v>0</v>
      </c>
      <c r="N26" s="96">
        <f t="shared" si="10"/>
        <v>0</v>
      </c>
      <c r="O26" s="97"/>
      <c r="P26" s="98">
        <f t="shared" si="19"/>
        <v>1</v>
      </c>
      <c r="Q26" s="99">
        <f>O26+P26</f>
        <v>1</v>
      </c>
      <c r="R26" s="112">
        <v>0</v>
      </c>
      <c r="S26" s="95">
        <v>1055385.3999999999</v>
      </c>
      <c r="T26" s="103">
        <v>339968.5</v>
      </c>
      <c r="U26" s="96">
        <f t="shared" si="11"/>
        <v>0</v>
      </c>
      <c r="V26" s="97"/>
      <c r="W26" s="98">
        <f t="shared" si="20"/>
        <v>1</v>
      </c>
      <c r="X26" s="99">
        <f t="shared" si="12"/>
        <v>1</v>
      </c>
      <c r="Y26" s="95">
        <v>18107</v>
      </c>
      <c r="Z26" s="104"/>
      <c r="AA26" s="104">
        <v>18107</v>
      </c>
      <c r="AB26" s="104"/>
      <c r="AC26" s="104">
        <v>1037278.3</v>
      </c>
      <c r="AD26" s="104">
        <v>807304.2</v>
      </c>
      <c r="AE26" s="104">
        <v>163113</v>
      </c>
      <c r="AF26" s="104">
        <f t="shared" si="13"/>
        <v>66861.100000000093</v>
      </c>
      <c r="AG26" s="104">
        <f>AF26*10%</f>
        <v>6686.1100000000097</v>
      </c>
      <c r="AH26" s="104">
        <f t="shared" si="17"/>
        <v>24793.110000000008</v>
      </c>
      <c r="AI26" s="105">
        <f t="shared" si="6"/>
        <v>0</v>
      </c>
      <c r="AJ26" s="106"/>
      <c r="AK26" s="107">
        <f t="shared" si="21"/>
        <v>1.5</v>
      </c>
      <c r="AL26" s="99">
        <f t="shared" si="7"/>
        <v>1.5</v>
      </c>
      <c r="AM26" s="108"/>
      <c r="AN26" s="98"/>
      <c r="AO26" s="105">
        <v>0.94599999999999995</v>
      </c>
      <c r="AP26" s="106"/>
      <c r="AQ26" s="107">
        <v>1</v>
      </c>
      <c r="AR26" s="109">
        <v>1</v>
      </c>
      <c r="AS26" s="108"/>
      <c r="AT26" s="98"/>
      <c r="AU26" s="105">
        <v>0.96899999999999997</v>
      </c>
      <c r="AV26" s="106"/>
      <c r="AW26" s="107">
        <v>1</v>
      </c>
      <c r="AX26" s="109">
        <v>1</v>
      </c>
      <c r="AY26" s="78"/>
      <c r="AZ26" s="79"/>
      <c r="BA26" s="72">
        <f t="shared" si="15"/>
        <v>0</v>
      </c>
      <c r="BB26" s="110">
        <f t="shared" si="16"/>
        <v>6.5</v>
      </c>
    </row>
    <row r="27" spans="1:54" s="6" customFormat="1" ht="13" x14ac:dyDescent="0.3">
      <c r="A27" s="94" t="s">
        <v>81</v>
      </c>
      <c r="B27" s="95">
        <v>0</v>
      </c>
      <c r="C27" s="95">
        <v>10873.6</v>
      </c>
      <c r="D27" s="95">
        <v>0</v>
      </c>
      <c r="E27" s="96">
        <f t="shared" si="8"/>
        <v>0</v>
      </c>
      <c r="F27" s="97"/>
      <c r="G27" s="98">
        <f t="shared" si="18"/>
        <v>1</v>
      </c>
      <c r="H27" s="99">
        <f t="shared" si="0"/>
        <v>1</v>
      </c>
      <c r="I27" s="100">
        <v>0</v>
      </c>
      <c r="J27" s="100">
        <v>512826.25</v>
      </c>
      <c r="K27" s="101">
        <v>383171.85</v>
      </c>
      <c r="L27" s="100">
        <v>72903</v>
      </c>
      <c r="M27" s="95">
        <v>0</v>
      </c>
      <c r="N27" s="96">
        <f t="shared" si="10"/>
        <v>0</v>
      </c>
      <c r="O27" s="97"/>
      <c r="P27" s="98">
        <f t="shared" si="19"/>
        <v>1</v>
      </c>
      <c r="Q27" s="99">
        <f t="shared" si="2"/>
        <v>1</v>
      </c>
      <c r="R27" s="112">
        <v>0</v>
      </c>
      <c r="S27" s="95">
        <v>522051.7</v>
      </c>
      <c r="T27" s="103">
        <v>252270.6</v>
      </c>
      <c r="U27" s="96">
        <f t="shared" si="11"/>
        <v>0</v>
      </c>
      <c r="V27" s="97"/>
      <c r="W27" s="98">
        <f t="shared" si="20"/>
        <v>1</v>
      </c>
      <c r="X27" s="99">
        <f t="shared" si="12"/>
        <v>1</v>
      </c>
      <c r="Y27" s="95">
        <v>10873.6</v>
      </c>
      <c r="Z27" s="104"/>
      <c r="AA27" s="104">
        <v>10873.6</v>
      </c>
      <c r="AB27" s="104"/>
      <c r="AC27" s="104">
        <v>512826.3</v>
      </c>
      <c r="AD27" s="104">
        <v>383171.9</v>
      </c>
      <c r="AE27" s="104">
        <v>72903</v>
      </c>
      <c r="AF27" s="104">
        <f t="shared" si="13"/>
        <v>56751.399999999965</v>
      </c>
      <c r="AG27" s="104">
        <f t="shared" si="22"/>
        <v>2837.5699999999983</v>
      </c>
      <c r="AH27" s="104">
        <f t="shared" si="17"/>
        <v>13711.169999999998</v>
      </c>
      <c r="AI27" s="105">
        <f t="shared" si="6"/>
        <v>0</v>
      </c>
      <c r="AJ27" s="97"/>
      <c r="AK27" s="107">
        <f t="shared" si="21"/>
        <v>1.5</v>
      </c>
      <c r="AL27" s="99">
        <f t="shared" si="7"/>
        <v>1.5</v>
      </c>
      <c r="AM27" s="108"/>
      <c r="AN27" s="98"/>
      <c r="AO27" s="105">
        <v>0.89600000000000002</v>
      </c>
      <c r="AP27" s="97"/>
      <c r="AQ27" s="107">
        <v>1</v>
      </c>
      <c r="AR27" s="109">
        <v>1</v>
      </c>
      <c r="AS27" s="108"/>
      <c r="AT27" s="98"/>
      <c r="AU27" s="105">
        <v>0.96199999999999997</v>
      </c>
      <c r="AV27" s="97"/>
      <c r="AW27" s="107">
        <v>1</v>
      </c>
      <c r="AX27" s="109">
        <v>1</v>
      </c>
      <c r="AY27" s="78"/>
      <c r="AZ27" s="79"/>
      <c r="BA27" s="72">
        <f t="shared" si="15"/>
        <v>0</v>
      </c>
      <c r="BB27" s="110">
        <f t="shared" si="16"/>
        <v>6.5</v>
      </c>
    </row>
    <row r="28" spans="1:54" s="6" customFormat="1" ht="13" x14ac:dyDescent="0.3">
      <c r="A28" s="94" t="s">
        <v>82</v>
      </c>
      <c r="B28" s="95">
        <v>0</v>
      </c>
      <c r="C28" s="95">
        <v>20605.599999999999</v>
      </c>
      <c r="D28" s="95">
        <v>0</v>
      </c>
      <c r="E28" s="96">
        <f t="shared" si="8"/>
        <v>0</v>
      </c>
      <c r="F28" s="97"/>
      <c r="G28" s="98">
        <f t="shared" si="18"/>
        <v>1</v>
      </c>
      <c r="H28" s="99">
        <f t="shared" si="0"/>
        <v>1</v>
      </c>
      <c r="I28" s="100">
        <v>0</v>
      </c>
      <c r="J28" s="100">
        <v>460622.75</v>
      </c>
      <c r="K28" s="101">
        <v>311654.17</v>
      </c>
      <c r="L28" s="100">
        <v>95354</v>
      </c>
      <c r="M28" s="95">
        <v>0</v>
      </c>
      <c r="N28" s="96">
        <f t="shared" si="10"/>
        <v>0</v>
      </c>
      <c r="O28" s="97"/>
      <c r="P28" s="98">
        <f t="shared" si="19"/>
        <v>1</v>
      </c>
      <c r="Q28" s="99">
        <f t="shared" si="2"/>
        <v>1</v>
      </c>
      <c r="R28" s="112">
        <v>0</v>
      </c>
      <c r="S28" s="95">
        <v>481228.3</v>
      </c>
      <c r="T28" s="103">
        <v>169655.7</v>
      </c>
      <c r="U28" s="96">
        <f t="shared" si="11"/>
        <v>0</v>
      </c>
      <c r="V28" s="97"/>
      <c r="W28" s="98">
        <f t="shared" si="20"/>
        <v>1</v>
      </c>
      <c r="X28" s="99">
        <f t="shared" si="12"/>
        <v>1</v>
      </c>
      <c r="Y28" s="95">
        <v>20605.599999999999</v>
      </c>
      <c r="Z28" s="104"/>
      <c r="AA28" s="104">
        <v>20605.599999999999</v>
      </c>
      <c r="AB28" s="104"/>
      <c r="AC28" s="104">
        <v>460622.8</v>
      </c>
      <c r="AD28" s="104">
        <v>311654.2</v>
      </c>
      <c r="AE28" s="104">
        <v>95354</v>
      </c>
      <c r="AF28" s="104">
        <f t="shared" si="13"/>
        <v>53614.599999999977</v>
      </c>
      <c r="AG28" s="104">
        <f t="shared" si="22"/>
        <v>2680.7299999999991</v>
      </c>
      <c r="AH28" s="104">
        <f t="shared" si="17"/>
        <v>23286.329999999998</v>
      </c>
      <c r="AI28" s="105">
        <f t="shared" si="6"/>
        <v>0</v>
      </c>
      <c r="AJ28" s="97"/>
      <c r="AK28" s="107">
        <f t="shared" si="21"/>
        <v>1.5</v>
      </c>
      <c r="AL28" s="99">
        <f t="shared" si="7"/>
        <v>1.5</v>
      </c>
      <c r="AM28" s="108"/>
      <c r="AN28" s="98"/>
      <c r="AO28" s="105">
        <v>0.86799999999999999</v>
      </c>
      <c r="AP28" s="97"/>
      <c r="AQ28" s="107">
        <v>1</v>
      </c>
      <c r="AR28" s="109">
        <v>1</v>
      </c>
      <c r="AS28" s="108"/>
      <c r="AT28" s="98"/>
      <c r="AU28" s="105">
        <v>0.85399999999999998</v>
      </c>
      <c r="AV28" s="97"/>
      <c r="AW28" s="107">
        <v>1</v>
      </c>
      <c r="AX28" s="109">
        <v>1</v>
      </c>
      <c r="AY28" s="78"/>
      <c r="AZ28" s="79"/>
      <c r="BA28" s="72">
        <f t="shared" si="15"/>
        <v>0</v>
      </c>
      <c r="BB28" s="110">
        <f t="shared" si="16"/>
        <v>6.5</v>
      </c>
    </row>
    <row r="29" spans="1:54" s="6" customFormat="1" ht="13" x14ac:dyDescent="0.3">
      <c r="A29" s="94" t="s">
        <v>83</v>
      </c>
      <c r="B29" s="95">
        <v>0</v>
      </c>
      <c r="C29" s="95">
        <v>8712.7999999999993</v>
      </c>
      <c r="D29" s="95">
        <v>0</v>
      </c>
      <c r="E29" s="96">
        <f t="shared" si="8"/>
        <v>0</v>
      </c>
      <c r="F29" s="97"/>
      <c r="G29" s="98">
        <f t="shared" si="18"/>
        <v>1</v>
      </c>
      <c r="H29" s="99">
        <f t="shared" si="0"/>
        <v>1</v>
      </c>
      <c r="I29" s="100">
        <v>0</v>
      </c>
      <c r="J29" s="100">
        <v>469737.31</v>
      </c>
      <c r="K29" s="101">
        <v>406634</v>
      </c>
      <c r="L29" s="100">
        <v>40292</v>
      </c>
      <c r="M29" s="95">
        <v>0</v>
      </c>
      <c r="N29" s="96">
        <f t="shared" si="10"/>
        <v>0</v>
      </c>
      <c r="O29" s="97"/>
      <c r="P29" s="98">
        <f t="shared" si="19"/>
        <v>1</v>
      </c>
      <c r="Q29" s="99">
        <f t="shared" si="2"/>
        <v>1</v>
      </c>
      <c r="R29" s="112">
        <v>0</v>
      </c>
      <c r="S29" s="95">
        <v>478450.1</v>
      </c>
      <c r="T29" s="103">
        <v>163315.6</v>
      </c>
      <c r="U29" s="96">
        <f t="shared" si="11"/>
        <v>0</v>
      </c>
      <c r="V29" s="97"/>
      <c r="W29" s="98">
        <f t="shared" si="20"/>
        <v>1</v>
      </c>
      <c r="X29" s="99">
        <f t="shared" si="12"/>
        <v>1</v>
      </c>
      <c r="Y29" s="95">
        <v>8712.7999999999993</v>
      </c>
      <c r="Z29" s="104"/>
      <c r="AA29" s="104">
        <v>8712.7999999999993</v>
      </c>
      <c r="AB29" s="104"/>
      <c r="AC29" s="104">
        <v>469737.3</v>
      </c>
      <c r="AD29" s="104">
        <v>406634</v>
      </c>
      <c r="AE29" s="104">
        <v>40292</v>
      </c>
      <c r="AF29" s="104">
        <f t="shared" si="13"/>
        <v>22811.299999999988</v>
      </c>
      <c r="AG29" s="104">
        <f t="shared" si="22"/>
        <v>1140.5649999999994</v>
      </c>
      <c r="AH29" s="104">
        <f t="shared" si="17"/>
        <v>9853.364999999998</v>
      </c>
      <c r="AI29" s="105">
        <f t="shared" si="6"/>
        <v>0</v>
      </c>
      <c r="AJ29" s="97"/>
      <c r="AK29" s="107">
        <f t="shared" si="21"/>
        <v>1.5</v>
      </c>
      <c r="AL29" s="99">
        <f t="shared" si="7"/>
        <v>1.5</v>
      </c>
      <c r="AM29" s="108"/>
      <c r="AN29" s="98"/>
      <c r="AO29" s="105">
        <v>0.94699999999999995</v>
      </c>
      <c r="AP29" s="97"/>
      <c r="AQ29" s="107">
        <v>1</v>
      </c>
      <c r="AR29" s="109">
        <v>1</v>
      </c>
      <c r="AS29" s="108"/>
      <c r="AT29" s="98"/>
      <c r="AU29" s="105">
        <v>0.91</v>
      </c>
      <c r="AV29" s="97"/>
      <c r="AW29" s="107">
        <v>1</v>
      </c>
      <c r="AX29" s="109">
        <v>1</v>
      </c>
      <c r="AY29" s="78"/>
      <c r="AZ29" s="79"/>
      <c r="BA29" s="72">
        <f t="shared" si="15"/>
        <v>0</v>
      </c>
      <c r="BB29" s="110">
        <f t="shared" si="16"/>
        <v>6.5</v>
      </c>
    </row>
    <row r="30" spans="1:54" s="6" customFormat="1" ht="13" x14ac:dyDescent="0.3">
      <c r="A30" s="94" t="s">
        <v>84</v>
      </c>
      <c r="B30" s="95">
        <v>0</v>
      </c>
      <c r="C30" s="95">
        <v>18602.599999999999</v>
      </c>
      <c r="D30" s="95">
        <v>0</v>
      </c>
      <c r="E30" s="96">
        <f t="shared" si="8"/>
        <v>0</v>
      </c>
      <c r="F30" s="97"/>
      <c r="G30" s="98">
        <f t="shared" si="18"/>
        <v>1</v>
      </c>
      <c r="H30" s="99">
        <f t="shared" si="0"/>
        <v>1</v>
      </c>
      <c r="I30" s="100">
        <v>0</v>
      </c>
      <c r="J30" s="100">
        <v>475236.47</v>
      </c>
      <c r="K30" s="101">
        <v>363976.34</v>
      </c>
      <c r="L30" s="100">
        <v>67564</v>
      </c>
      <c r="M30" s="95">
        <v>0</v>
      </c>
      <c r="N30" s="96">
        <f t="shared" si="10"/>
        <v>0</v>
      </c>
      <c r="O30" s="97"/>
      <c r="P30" s="98">
        <f t="shared" si="19"/>
        <v>1</v>
      </c>
      <c r="Q30" s="99">
        <f t="shared" si="2"/>
        <v>1</v>
      </c>
      <c r="R30" s="112">
        <v>0</v>
      </c>
      <c r="S30" s="95">
        <v>493839.1</v>
      </c>
      <c r="T30" s="103">
        <v>165720.4</v>
      </c>
      <c r="U30" s="96">
        <f t="shared" si="11"/>
        <v>0</v>
      </c>
      <c r="V30" s="97"/>
      <c r="W30" s="98">
        <f t="shared" si="20"/>
        <v>1</v>
      </c>
      <c r="X30" s="99">
        <f t="shared" si="12"/>
        <v>1</v>
      </c>
      <c r="Y30" s="95">
        <v>18602.599999999999</v>
      </c>
      <c r="Z30" s="104"/>
      <c r="AA30" s="104">
        <v>18602.599999999999</v>
      </c>
      <c r="AB30" s="104"/>
      <c r="AC30" s="104">
        <v>475236.5</v>
      </c>
      <c r="AD30" s="104">
        <v>363976.3</v>
      </c>
      <c r="AE30" s="104">
        <v>67564</v>
      </c>
      <c r="AF30" s="104">
        <f t="shared" si="13"/>
        <v>43696.200000000012</v>
      </c>
      <c r="AG30" s="104">
        <f t="shared" si="22"/>
        <v>2184.8100000000009</v>
      </c>
      <c r="AH30" s="104">
        <f t="shared" si="17"/>
        <v>20787.41</v>
      </c>
      <c r="AI30" s="105">
        <f t="shared" si="6"/>
        <v>0</v>
      </c>
      <c r="AJ30" s="97"/>
      <c r="AK30" s="107">
        <f t="shared" si="21"/>
        <v>1.5</v>
      </c>
      <c r="AL30" s="99">
        <f t="shared" si="7"/>
        <v>1.5</v>
      </c>
      <c r="AM30" s="108"/>
      <c r="AN30" s="98"/>
      <c r="AO30" s="105">
        <v>0.94399999999999995</v>
      </c>
      <c r="AP30" s="97"/>
      <c r="AQ30" s="107">
        <v>1</v>
      </c>
      <c r="AR30" s="109">
        <v>1</v>
      </c>
      <c r="AS30" s="108"/>
      <c r="AT30" s="98"/>
      <c r="AU30" s="105">
        <v>0.96299999999999997</v>
      </c>
      <c r="AV30" s="97"/>
      <c r="AW30" s="107">
        <v>1</v>
      </c>
      <c r="AX30" s="109">
        <v>1</v>
      </c>
      <c r="AY30" s="78"/>
      <c r="AZ30" s="79"/>
      <c r="BA30" s="72">
        <f t="shared" si="15"/>
        <v>0</v>
      </c>
      <c r="BB30" s="110">
        <f t="shared" si="16"/>
        <v>6.5</v>
      </c>
    </row>
    <row r="31" spans="1:54" s="6" customFormat="1" ht="13" x14ac:dyDescent="0.3">
      <c r="A31" s="84" t="s">
        <v>85</v>
      </c>
      <c r="B31" s="57">
        <v>0</v>
      </c>
      <c r="C31" s="57">
        <v>83787.399999999994</v>
      </c>
      <c r="D31" s="57">
        <v>0</v>
      </c>
      <c r="E31" s="65">
        <f t="shared" si="8"/>
        <v>0</v>
      </c>
      <c r="F31" s="59">
        <f>IF(E31&lt;=1.05,1,0)</f>
        <v>1</v>
      </c>
      <c r="G31" s="73"/>
      <c r="H31" s="74">
        <f t="shared" si="0"/>
        <v>1</v>
      </c>
      <c r="I31" s="62">
        <v>0</v>
      </c>
      <c r="J31" s="62">
        <v>703689.37</v>
      </c>
      <c r="K31" s="63">
        <v>546047.93000000005</v>
      </c>
      <c r="L31" s="62">
        <v>107387</v>
      </c>
      <c r="M31" s="57">
        <v>0</v>
      </c>
      <c r="N31" s="65">
        <f t="shared" si="10"/>
        <v>0</v>
      </c>
      <c r="O31" s="59">
        <f>IF(N31&lt;=1,1,0)</f>
        <v>1</v>
      </c>
      <c r="P31" s="73"/>
      <c r="Q31" s="74">
        <f>O31+P31</f>
        <v>1</v>
      </c>
      <c r="R31" s="83">
        <v>0</v>
      </c>
      <c r="S31" s="57">
        <v>787476.7</v>
      </c>
      <c r="T31" s="67">
        <v>371796.6</v>
      </c>
      <c r="U31" s="65">
        <f t="shared" si="11"/>
        <v>0</v>
      </c>
      <c r="V31" s="59">
        <f>IF(U31&lt;=0.15,1,0)</f>
        <v>1</v>
      </c>
      <c r="W31" s="73"/>
      <c r="X31" s="74">
        <f t="shared" si="12"/>
        <v>1</v>
      </c>
      <c r="Y31" s="57">
        <v>83787.399999999994</v>
      </c>
      <c r="Z31" s="69"/>
      <c r="AA31" s="69">
        <v>83787.399999999994</v>
      </c>
      <c r="AB31" s="69"/>
      <c r="AC31" s="69">
        <v>703689.4</v>
      </c>
      <c r="AD31" s="69">
        <v>546047.9</v>
      </c>
      <c r="AE31" s="69">
        <v>107387</v>
      </c>
      <c r="AF31" s="69">
        <f t="shared" si="13"/>
        <v>50254.5</v>
      </c>
      <c r="AG31" s="70">
        <f>AF31*10%</f>
        <v>5025.4500000000007</v>
      </c>
      <c r="AH31" s="69">
        <f t="shared" si="17"/>
        <v>88812.849999999991</v>
      </c>
      <c r="AI31" s="85">
        <f t="shared" si="6"/>
        <v>0</v>
      </c>
      <c r="AJ31" s="72">
        <f>IF(AI31&lt;=0.1,1.5,0)</f>
        <v>1.5</v>
      </c>
      <c r="AK31" s="73"/>
      <c r="AL31" s="74">
        <f t="shared" si="7"/>
        <v>1.5</v>
      </c>
      <c r="AM31" s="75"/>
      <c r="AN31" s="73"/>
      <c r="AO31" s="85">
        <v>0.90900000000000003</v>
      </c>
      <c r="AP31" s="76">
        <v>1</v>
      </c>
      <c r="AQ31" s="73"/>
      <c r="AR31" s="87">
        <v>1</v>
      </c>
      <c r="AS31" s="75"/>
      <c r="AT31" s="73"/>
      <c r="AU31" s="85">
        <v>0.91500000000000004</v>
      </c>
      <c r="AV31" s="76">
        <v>1</v>
      </c>
      <c r="AW31" s="73"/>
      <c r="AX31" s="87">
        <v>1</v>
      </c>
      <c r="AY31" s="78"/>
      <c r="AZ31" s="79"/>
      <c r="BA31" s="72">
        <f t="shared" si="15"/>
        <v>0</v>
      </c>
      <c r="BB31" s="111">
        <f t="shared" si="16"/>
        <v>6.5</v>
      </c>
    </row>
    <row r="32" spans="1:54" s="6" customFormat="1" ht="13" x14ac:dyDescent="0.3">
      <c r="A32" s="94" t="s">
        <v>86</v>
      </c>
      <c r="B32" s="95">
        <v>0</v>
      </c>
      <c r="C32" s="95">
        <v>29541.7</v>
      </c>
      <c r="D32" s="95">
        <v>0</v>
      </c>
      <c r="E32" s="96">
        <f t="shared" si="8"/>
        <v>0</v>
      </c>
      <c r="F32" s="97"/>
      <c r="G32" s="98">
        <f t="shared" si="18"/>
        <v>1</v>
      </c>
      <c r="H32" s="99">
        <f t="shared" si="0"/>
        <v>1</v>
      </c>
      <c r="I32" s="100">
        <v>0</v>
      </c>
      <c r="J32" s="100">
        <v>870507.45</v>
      </c>
      <c r="K32" s="101">
        <v>638030.41</v>
      </c>
      <c r="L32" s="100">
        <v>165797</v>
      </c>
      <c r="M32" s="95">
        <v>0</v>
      </c>
      <c r="N32" s="96">
        <f t="shared" si="10"/>
        <v>0</v>
      </c>
      <c r="O32" s="97"/>
      <c r="P32" s="98">
        <f t="shared" si="19"/>
        <v>1</v>
      </c>
      <c r="Q32" s="99">
        <f t="shared" si="2"/>
        <v>1</v>
      </c>
      <c r="R32" s="112">
        <v>0</v>
      </c>
      <c r="S32" s="95">
        <v>900049.2</v>
      </c>
      <c r="T32" s="103">
        <v>364134</v>
      </c>
      <c r="U32" s="96">
        <f t="shared" si="11"/>
        <v>0</v>
      </c>
      <c r="V32" s="97"/>
      <c r="W32" s="98">
        <f t="shared" si="20"/>
        <v>1</v>
      </c>
      <c r="X32" s="99">
        <f t="shared" si="12"/>
        <v>1</v>
      </c>
      <c r="Y32" s="95">
        <v>29541.7</v>
      </c>
      <c r="Z32" s="104"/>
      <c r="AA32" s="104">
        <v>29541.7</v>
      </c>
      <c r="AB32" s="104"/>
      <c r="AC32" s="104">
        <v>870507.5</v>
      </c>
      <c r="AD32" s="104">
        <v>638030.4</v>
      </c>
      <c r="AE32" s="104">
        <v>165797</v>
      </c>
      <c r="AF32" s="104">
        <f t="shared" si="13"/>
        <v>66680.099999999977</v>
      </c>
      <c r="AG32" s="104">
        <f t="shared" si="22"/>
        <v>3334.0049999999992</v>
      </c>
      <c r="AH32" s="104">
        <f t="shared" si="17"/>
        <v>32875.705000000002</v>
      </c>
      <c r="AI32" s="105">
        <f t="shared" si="6"/>
        <v>0</v>
      </c>
      <c r="AJ32" s="97"/>
      <c r="AK32" s="107">
        <f t="shared" si="21"/>
        <v>1.5</v>
      </c>
      <c r="AL32" s="99">
        <f t="shared" si="7"/>
        <v>1.5</v>
      </c>
      <c r="AM32" s="108"/>
      <c r="AN32" s="98"/>
      <c r="AO32" s="105">
        <v>0.96</v>
      </c>
      <c r="AP32" s="97"/>
      <c r="AQ32" s="107">
        <v>1</v>
      </c>
      <c r="AR32" s="109">
        <v>1</v>
      </c>
      <c r="AS32" s="108"/>
      <c r="AT32" s="98"/>
      <c r="AU32" s="105">
        <v>0.995</v>
      </c>
      <c r="AV32" s="97"/>
      <c r="AW32" s="107">
        <v>1</v>
      </c>
      <c r="AX32" s="109">
        <v>1</v>
      </c>
      <c r="AY32" s="78"/>
      <c r="AZ32" s="79"/>
      <c r="BA32" s="72">
        <f t="shared" si="15"/>
        <v>0</v>
      </c>
      <c r="BB32" s="110">
        <f t="shared" si="16"/>
        <v>6.5</v>
      </c>
    </row>
    <row r="33" spans="1:54" s="6" customFormat="1" ht="13" x14ac:dyDescent="0.3">
      <c r="A33" s="84" t="s">
        <v>87</v>
      </c>
      <c r="B33" s="57">
        <v>0</v>
      </c>
      <c r="C33" s="57">
        <v>26474.799999999999</v>
      </c>
      <c r="D33" s="57">
        <v>0</v>
      </c>
      <c r="E33" s="65">
        <f t="shared" si="8"/>
        <v>0</v>
      </c>
      <c r="F33" s="59">
        <f>IF(E33&lt;=1.05,1,0)</f>
        <v>1</v>
      </c>
      <c r="G33" s="73"/>
      <c r="H33" s="74">
        <f t="shared" si="0"/>
        <v>1</v>
      </c>
      <c r="I33" s="62">
        <v>0</v>
      </c>
      <c r="J33" s="62">
        <v>1207280</v>
      </c>
      <c r="K33" s="63">
        <v>943437.32</v>
      </c>
      <c r="L33" s="62">
        <v>183847</v>
      </c>
      <c r="M33" s="57">
        <v>0</v>
      </c>
      <c r="N33" s="65">
        <f t="shared" si="10"/>
        <v>0</v>
      </c>
      <c r="O33" s="59">
        <f>IF(N33&lt;=1,1,0)</f>
        <v>1</v>
      </c>
      <c r="P33" s="73"/>
      <c r="Q33" s="74">
        <f>O33+P33</f>
        <v>1</v>
      </c>
      <c r="R33" s="83">
        <v>0</v>
      </c>
      <c r="S33" s="57">
        <v>1233754.8</v>
      </c>
      <c r="T33" s="67">
        <v>546044.30000000005</v>
      </c>
      <c r="U33" s="65">
        <f t="shared" si="11"/>
        <v>0</v>
      </c>
      <c r="V33" s="59">
        <f>IF(U33&lt;=0.15,1,0)</f>
        <v>1</v>
      </c>
      <c r="W33" s="73"/>
      <c r="X33" s="74">
        <f t="shared" si="12"/>
        <v>1</v>
      </c>
      <c r="Y33" s="57">
        <v>26474.799999999999</v>
      </c>
      <c r="Z33" s="69"/>
      <c r="AA33" s="69">
        <v>26474.799999999999</v>
      </c>
      <c r="AB33" s="69"/>
      <c r="AC33" s="69">
        <v>1207280</v>
      </c>
      <c r="AD33" s="69">
        <v>943437.3</v>
      </c>
      <c r="AE33" s="69">
        <v>183847</v>
      </c>
      <c r="AF33" s="69">
        <f t="shared" si="13"/>
        <v>79995.699999999953</v>
      </c>
      <c r="AG33" s="70">
        <f>AF33*10%</f>
        <v>7999.5699999999961</v>
      </c>
      <c r="AH33" s="69">
        <f t="shared" si="17"/>
        <v>34474.369999999995</v>
      </c>
      <c r="AI33" s="85">
        <f t="shared" si="6"/>
        <v>0</v>
      </c>
      <c r="AJ33" s="72">
        <f>IF(AI33&lt;=0.1,1.5,0)</f>
        <v>1.5</v>
      </c>
      <c r="AK33" s="73"/>
      <c r="AL33" s="74">
        <f t="shared" si="7"/>
        <v>1.5</v>
      </c>
      <c r="AM33" s="75"/>
      <c r="AN33" s="73"/>
      <c r="AO33" s="85">
        <v>0.86</v>
      </c>
      <c r="AP33" s="76">
        <v>1</v>
      </c>
      <c r="AQ33" s="73"/>
      <c r="AR33" s="87">
        <v>1</v>
      </c>
      <c r="AS33" s="75"/>
      <c r="AT33" s="73"/>
      <c r="AU33" s="85">
        <v>0.96599999999999997</v>
      </c>
      <c r="AV33" s="76">
        <v>1</v>
      </c>
      <c r="AW33" s="73"/>
      <c r="AX33" s="87">
        <v>1</v>
      </c>
      <c r="AY33" s="78"/>
      <c r="AZ33" s="79"/>
      <c r="BA33" s="72">
        <f t="shared" si="15"/>
        <v>0</v>
      </c>
      <c r="BB33" s="111">
        <f t="shared" si="16"/>
        <v>6.5</v>
      </c>
    </row>
    <row r="34" spans="1:54" s="6" customFormat="1" ht="13" x14ac:dyDescent="0.3">
      <c r="A34" s="94" t="s">
        <v>88</v>
      </c>
      <c r="B34" s="95">
        <v>0</v>
      </c>
      <c r="C34" s="95">
        <v>12579.2</v>
      </c>
      <c r="D34" s="95">
        <v>0</v>
      </c>
      <c r="E34" s="96">
        <f t="shared" si="8"/>
        <v>0</v>
      </c>
      <c r="F34" s="97"/>
      <c r="G34" s="98">
        <f t="shared" si="18"/>
        <v>1</v>
      </c>
      <c r="H34" s="99">
        <f t="shared" si="0"/>
        <v>1</v>
      </c>
      <c r="I34" s="100">
        <v>0</v>
      </c>
      <c r="J34" s="100">
        <v>220196.01</v>
      </c>
      <c r="K34" s="101">
        <v>174527.46</v>
      </c>
      <c r="L34" s="100">
        <v>30005</v>
      </c>
      <c r="M34" s="95">
        <v>0</v>
      </c>
      <c r="N34" s="96">
        <f t="shared" si="10"/>
        <v>0</v>
      </c>
      <c r="O34" s="97"/>
      <c r="P34" s="98">
        <f t="shared" si="19"/>
        <v>1</v>
      </c>
      <c r="Q34" s="99">
        <f t="shared" si="2"/>
        <v>1</v>
      </c>
      <c r="R34" s="112">
        <v>0</v>
      </c>
      <c r="S34" s="95">
        <v>232775.2</v>
      </c>
      <c r="T34" s="103">
        <v>108961.5</v>
      </c>
      <c r="U34" s="96">
        <f t="shared" si="11"/>
        <v>0</v>
      </c>
      <c r="V34" s="97"/>
      <c r="W34" s="98">
        <f t="shared" si="20"/>
        <v>1</v>
      </c>
      <c r="X34" s="99">
        <f t="shared" si="12"/>
        <v>1</v>
      </c>
      <c r="Y34" s="95">
        <v>12579.2</v>
      </c>
      <c r="Z34" s="104"/>
      <c r="AA34" s="104">
        <v>12579.2</v>
      </c>
      <c r="AB34" s="104"/>
      <c r="AC34" s="104">
        <v>220196</v>
      </c>
      <c r="AD34" s="104">
        <v>174527.5</v>
      </c>
      <c r="AE34" s="104">
        <v>30005</v>
      </c>
      <c r="AF34" s="104">
        <f t="shared" si="13"/>
        <v>15663.5</v>
      </c>
      <c r="AG34" s="104">
        <f t="shared" ref="AG34:AG39" si="23">AF34*5%</f>
        <v>783.17500000000007</v>
      </c>
      <c r="AH34" s="104">
        <f t="shared" si="17"/>
        <v>13362.375</v>
      </c>
      <c r="AI34" s="105">
        <f t="shared" si="6"/>
        <v>0</v>
      </c>
      <c r="AJ34" s="106"/>
      <c r="AK34" s="107">
        <f t="shared" si="21"/>
        <v>1.5</v>
      </c>
      <c r="AL34" s="99">
        <f t="shared" si="7"/>
        <v>1.5</v>
      </c>
      <c r="AM34" s="108"/>
      <c r="AN34" s="98"/>
      <c r="AO34" s="105">
        <v>0.71599999999999997</v>
      </c>
      <c r="AP34" s="106"/>
      <c r="AQ34" s="107">
        <v>1</v>
      </c>
      <c r="AR34" s="109">
        <v>1</v>
      </c>
      <c r="AS34" s="108"/>
      <c r="AT34" s="98"/>
      <c r="AU34" s="105">
        <v>0.84099999999999997</v>
      </c>
      <c r="AV34" s="106"/>
      <c r="AW34" s="107">
        <v>1</v>
      </c>
      <c r="AX34" s="109">
        <v>1</v>
      </c>
      <c r="AY34" s="78"/>
      <c r="AZ34" s="79"/>
      <c r="BA34" s="72">
        <f t="shared" si="15"/>
        <v>0</v>
      </c>
      <c r="BB34" s="110">
        <f t="shared" si="16"/>
        <v>6.5</v>
      </c>
    </row>
    <row r="35" spans="1:54" s="6" customFormat="1" ht="13" x14ac:dyDescent="0.3">
      <c r="A35" s="84" t="s">
        <v>89</v>
      </c>
      <c r="B35" s="57">
        <v>0</v>
      </c>
      <c r="C35" s="57">
        <v>29652.5</v>
      </c>
      <c r="D35" s="57">
        <v>0</v>
      </c>
      <c r="E35" s="65">
        <f t="shared" si="8"/>
        <v>0</v>
      </c>
      <c r="F35" s="59">
        <f>IF(E35&lt;=1.05,1,0)</f>
        <v>1</v>
      </c>
      <c r="G35" s="73"/>
      <c r="H35" s="74">
        <f t="shared" si="0"/>
        <v>1</v>
      </c>
      <c r="I35" s="62">
        <v>0</v>
      </c>
      <c r="J35" s="62">
        <v>467662.56</v>
      </c>
      <c r="K35" s="63">
        <v>318036.05</v>
      </c>
      <c r="L35" s="62">
        <v>73241</v>
      </c>
      <c r="M35" s="57">
        <v>0</v>
      </c>
      <c r="N35" s="65">
        <f t="shared" si="10"/>
        <v>0</v>
      </c>
      <c r="O35" s="59">
        <f>IF(N35&lt;=1,1,0)</f>
        <v>1</v>
      </c>
      <c r="P35" s="73"/>
      <c r="Q35" s="74">
        <f>O35+P35</f>
        <v>1</v>
      </c>
      <c r="R35" s="83">
        <v>0</v>
      </c>
      <c r="S35" s="57">
        <v>497315.1</v>
      </c>
      <c r="T35" s="67">
        <v>197790.7</v>
      </c>
      <c r="U35" s="65">
        <f t="shared" si="11"/>
        <v>0</v>
      </c>
      <c r="V35" s="59">
        <f>IF(U35&lt;=0.15,1,0)</f>
        <v>1</v>
      </c>
      <c r="W35" s="73"/>
      <c r="X35" s="74">
        <f t="shared" si="12"/>
        <v>1</v>
      </c>
      <c r="Y35" s="57">
        <v>29652.5</v>
      </c>
      <c r="Z35" s="69"/>
      <c r="AA35" s="69">
        <v>29652.5</v>
      </c>
      <c r="AB35" s="69"/>
      <c r="AC35" s="69">
        <v>467662.6</v>
      </c>
      <c r="AD35" s="69">
        <v>318036.09999999998</v>
      </c>
      <c r="AE35" s="69">
        <v>73241</v>
      </c>
      <c r="AF35" s="69">
        <f t="shared" si="13"/>
        <v>76385.5</v>
      </c>
      <c r="AG35" s="70">
        <f>AF35*10%</f>
        <v>7638.55</v>
      </c>
      <c r="AH35" s="69">
        <f t="shared" si="17"/>
        <v>37291.050000000003</v>
      </c>
      <c r="AI35" s="85">
        <f t="shared" si="6"/>
        <v>0</v>
      </c>
      <c r="AJ35" s="72">
        <f>IF(AI35&lt;=0.1,1.5,0)</f>
        <v>1.5</v>
      </c>
      <c r="AK35" s="73"/>
      <c r="AL35" s="74">
        <f t="shared" si="7"/>
        <v>1.5</v>
      </c>
      <c r="AM35" s="75"/>
      <c r="AN35" s="73"/>
      <c r="AO35" s="85">
        <v>0.92500000000000004</v>
      </c>
      <c r="AP35" s="76">
        <v>1</v>
      </c>
      <c r="AQ35" s="73"/>
      <c r="AR35" s="87">
        <v>1</v>
      </c>
      <c r="AS35" s="75"/>
      <c r="AT35" s="73"/>
      <c r="AU35" s="85">
        <v>0.90700000000000003</v>
      </c>
      <c r="AV35" s="76">
        <v>1</v>
      </c>
      <c r="AW35" s="73"/>
      <c r="AX35" s="87">
        <v>1</v>
      </c>
      <c r="AY35" s="78"/>
      <c r="AZ35" s="79"/>
      <c r="BA35" s="72">
        <f t="shared" si="15"/>
        <v>0</v>
      </c>
      <c r="BB35" s="111">
        <f t="shared" si="16"/>
        <v>6.5</v>
      </c>
    </row>
    <row r="36" spans="1:54" s="6" customFormat="1" ht="13" x14ac:dyDescent="0.3">
      <c r="A36" s="84" t="s">
        <v>90</v>
      </c>
      <c r="B36" s="57">
        <v>0</v>
      </c>
      <c r="C36" s="57">
        <v>33082.9</v>
      </c>
      <c r="D36" s="57">
        <v>0</v>
      </c>
      <c r="E36" s="65">
        <f t="shared" si="8"/>
        <v>0</v>
      </c>
      <c r="F36" s="82">
        <f>IF(E36&lt;=1.05,1,0)</f>
        <v>1</v>
      </c>
      <c r="G36" s="73"/>
      <c r="H36" s="74">
        <f t="shared" si="0"/>
        <v>1</v>
      </c>
      <c r="I36" s="62">
        <v>20972.78</v>
      </c>
      <c r="J36" s="62">
        <v>1349099.84</v>
      </c>
      <c r="K36" s="63">
        <v>936203.98</v>
      </c>
      <c r="L36" s="62">
        <v>148966</v>
      </c>
      <c r="M36" s="57">
        <v>0</v>
      </c>
      <c r="N36" s="65">
        <f t="shared" si="10"/>
        <v>7.9463460481508194E-2</v>
      </c>
      <c r="O36" s="82">
        <f>IF(N36&lt;=1,1,0)</f>
        <v>1</v>
      </c>
      <c r="P36" s="73"/>
      <c r="Q36" s="74">
        <f t="shared" si="2"/>
        <v>1</v>
      </c>
      <c r="R36" s="83">
        <v>21</v>
      </c>
      <c r="S36" s="57">
        <v>1363318.4</v>
      </c>
      <c r="T36" s="67">
        <v>410297.5</v>
      </c>
      <c r="U36" s="65">
        <f t="shared" si="11"/>
        <v>2.2035193561862076E-5</v>
      </c>
      <c r="V36" s="82">
        <f>IF(U36&lt;=0.15,1,0)</f>
        <v>1</v>
      </c>
      <c r="W36" s="73"/>
      <c r="X36" s="74">
        <f t="shared" si="12"/>
        <v>1</v>
      </c>
      <c r="Y36" s="57">
        <v>33082.9</v>
      </c>
      <c r="Z36" s="69"/>
      <c r="AA36" s="69">
        <v>33082.9</v>
      </c>
      <c r="AB36" s="69"/>
      <c r="AC36" s="69">
        <v>1349099.8</v>
      </c>
      <c r="AD36" s="69">
        <v>936204</v>
      </c>
      <c r="AE36" s="69">
        <v>148966</v>
      </c>
      <c r="AF36" s="69">
        <f t="shared" si="13"/>
        <v>263929.80000000005</v>
      </c>
      <c r="AG36" s="69">
        <f t="shared" si="23"/>
        <v>13196.490000000003</v>
      </c>
      <c r="AH36" s="69">
        <f t="shared" si="17"/>
        <v>46279.390000000007</v>
      </c>
      <c r="AI36" s="85">
        <f t="shared" si="6"/>
        <v>0</v>
      </c>
      <c r="AJ36" s="72">
        <f>IF(AI36&lt;=0.1,1.5,0)</f>
        <v>1.5</v>
      </c>
      <c r="AK36" s="86"/>
      <c r="AL36" s="74">
        <f t="shared" si="7"/>
        <v>1.5</v>
      </c>
      <c r="AM36" s="75"/>
      <c r="AN36" s="73"/>
      <c r="AO36" s="85">
        <v>0.90300000000000002</v>
      </c>
      <c r="AP36" s="72">
        <v>1</v>
      </c>
      <c r="AQ36" s="86"/>
      <c r="AR36" s="87">
        <v>1</v>
      </c>
      <c r="AS36" s="75"/>
      <c r="AT36" s="73"/>
      <c r="AU36" s="85">
        <v>0.83899999999999997</v>
      </c>
      <c r="AV36" s="72">
        <v>1</v>
      </c>
      <c r="AW36" s="86"/>
      <c r="AX36" s="87">
        <v>1</v>
      </c>
      <c r="AY36" s="78"/>
      <c r="AZ36" s="79"/>
      <c r="BA36" s="72">
        <f t="shared" si="15"/>
        <v>0</v>
      </c>
      <c r="BB36" s="111">
        <f t="shared" si="16"/>
        <v>6.5</v>
      </c>
    </row>
    <row r="37" spans="1:54" s="6" customFormat="1" ht="13" x14ac:dyDescent="0.3">
      <c r="A37" s="84" t="s">
        <v>91</v>
      </c>
      <c r="B37" s="57">
        <v>0</v>
      </c>
      <c r="C37" s="57">
        <v>42689.3</v>
      </c>
      <c r="D37" s="57">
        <v>0</v>
      </c>
      <c r="E37" s="65">
        <f t="shared" si="8"/>
        <v>0</v>
      </c>
      <c r="F37" s="59">
        <f>IF(E37&lt;=1.05,1,0)</f>
        <v>1</v>
      </c>
      <c r="G37" s="73"/>
      <c r="H37" s="74">
        <f t="shared" si="0"/>
        <v>1</v>
      </c>
      <c r="I37" s="62">
        <v>0</v>
      </c>
      <c r="J37" s="62">
        <v>624143.86</v>
      </c>
      <c r="K37" s="63">
        <v>493031.24</v>
      </c>
      <c r="L37" s="62">
        <v>91751</v>
      </c>
      <c r="M37" s="57">
        <v>0</v>
      </c>
      <c r="N37" s="65">
        <f t="shared" si="10"/>
        <v>0</v>
      </c>
      <c r="O37" s="59">
        <f>IF(N37&lt;=1,1,0)</f>
        <v>1</v>
      </c>
      <c r="P37" s="73"/>
      <c r="Q37" s="74">
        <f>O37+P37</f>
        <v>1</v>
      </c>
      <c r="R37" s="83">
        <v>0</v>
      </c>
      <c r="S37" s="57">
        <v>666833.1</v>
      </c>
      <c r="T37" s="67">
        <v>157915.4</v>
      </c>
      <c r="U37" s="65">
        <f t="shared" si="11"/>
        <v>0</v>
      </c>
      <c r="V37" s="59">
        <f>IF(U37&lt;=0.15,1,0)</f>
        <v>1</v>
      </c>
      <c r="W37" s="73"/>
      <c r="X37" s="74">
        <f t="shared" si="12"/>
        <v>1</v>
      </c>
      <c r="Y37" s="57">
        <v>42689.3</v>
      </c>
      <c r="Z37" s="69"/>
      <c r="AA37" s="69">
        <v>42689.3</v>
      </c>
      <c r="AB37" s="69"/>
      <c r="AC37" s="69">
        <v>624143.9</v>
      </c>
      <c r="AD37" s="69">
        <v>493031.2</v>
      </c>
      <c r="AE37" s="69">
        <v>91751</v>
      </c>
      <c r="AF37" s="69">
        <f t="shared" si="13"/>
        <v>39361.700000000012</v>
      </c>
      <c r="AG37" s="70">
        <f>AF37*10%</f>
        <v>3936.1700000000014</v>
      </c>
      <c r="AH37" s="69">
        <f t="shared" si="17"/>
        <v>46625.47</v>
      </c>
      <c r="AI37" s="85">
        <f t="shared" si="6"/>
        <v>0</v>
      </c>
      <c r="AJ37" s="72">
        <f>IF(AI37&lt;=0.1,1.5,0)</f>
        <v>1.5</v>
      </c>
      <c r="AK37" s="73"/>
      <c r="AL37" s="74">
        <f t="shared" si="7"/>
        <v>1.5</v>
      </c>
      <c r="AM37" s="75"/>
      <c r="AN37" s="73"/>
      <c r="AO37" s="85">
        <v>0.90400000000000003</v>
      </c>
      <c r="AP37" s="76">
        <v>1</v>
      </c>
      <c r="AQ37" s="73"/>
      <c r="AR37" s="87">
        <v>1</v>
      </c>
      <c r="AS37" s="75"/>
      <c r="AT37" s="73"/>
      <c r="AU37" s="85">
        <v>0.998</v>
      </c>
      <c r="AV37" s="76">
        <v>1</v>
      </c>
      <c r="AW37" s="73"/>
      <c r="AX37" s="87">
        <v>1</v>
      </c>
      <c r="AY37" s="78"/>
      <c r="AZ37" s="79"/>
      <c r="BA37" s="72">
        <f t="shared" si="15"/>
        <v>0</v>
      </c>
      <c r="BB37" s="111">
        <f t="shared" si="16"/>
        <v>6.5</v>
      </c>
    </row>
    <row r="38" spans="1:54" s="6" customFormat="1" ht="13" x14ac:dyDescent="0.3">
      <c r="A38" s="94" t="s">
        <v>92</v>
      </c>
      <c r="B38" s="95">
        <v>0</v>
      </c>
      <c r="C38" s="95">
        <v>-141307.4</v>
      </c>
      <c r="D38" s="95">
        <v>0</v>
      </c>
      <c r="E38" s="96">
        <f>IF(AND(B38=0,D38=0),0,B38/(IF(C38&gt;0,C38,0)+D38))</f>
        <v>0</v>
      </c>
      <c r="F38" s="97"/>
      <c r="G38" s="98">
        <f>IF(E38&lt;=1.05,1,0)</f>
        <v>1</v>
      </c>
      <c r="H38" s="99">
        <f>F38+G38</f>
        <v>1</v>
      </c>
      <c r="I38" s="100">
        <v>0</v>
      </c>
      <c r="J38" s="100">
        <v>1234360.07</v>
      </c>
      <c r="K38" s="101">
        <v>818449.07</v>
      </c>
      <c r="L38" s="100">
        <v>326153</v>
      </c>
      <c r="M38" s="95">
        <v>0</v>
      </c>
      <c r="N38" s="96">
        <f t="shared" si="10"/>
        <v>0</v>
      </c>
      <c r="O38" s="97"/>
      <c r="P38" s="98">
        <f>IF(N38&lt;=0.5,1,0)</f>
        <v>1</v>
      </c>
      <c r="Q38" s="99">
        <f>O38+P38</f>
        <v>1</v>
      </c>
      <c r="R38" s="112">
        <v>0</v>
      </c>
      <c r="S38" s="95">
        <v>1086279.6000000001</v>
      </c>
      <c r="T38" s="103">
        <v>319828.59999999998</v>
      </c>
      <c r="U38" s="96">
        <f>R38/(S38-T38)</f>
        <v>0</v>
      </c>
      <c r="V38" s="97"/>
      <c r="W38" s="98">
        <f>IF(U38&lt;=0.15,1,0)</f>
        <v>1</v>
      </c>
      <c r="X38" s="99">
        <f>V38+W38</f>
        <v>1</v>
      </c>
      <c r="Y38" s="95">
        <v>-141307.4</v>
      </c>
      <c r="Z38" s="104"/>
      <c r="AA38" s="104">
        <v>-141307.4</v>
      </c>
      <c r="AB38" s="104"/>
      <c r="AC38" s="104">
        <v>1234360.1000000001</v>
      </c>
      <c r="AD38" s="104">
        <v>818449.1</v>
      </c>
      <c r="AE38" s="104">
        <v>326153</v>
      </c>
      <c r="AF38" s="104">
        <f>AC38-AD38-AE38</f>
        <v>89758.000000000116</v>
      </c>
      <c r="AG38" s="104">
        <f>AF38*5%</f>
        <v>4487.900000000006</v>
      </c>
      <c r="AH38" s="104">
        <f>IF(AA38&gt;0,AA38,0)+AG38+IF(AB38&gt;0,AB38,0)</f>
        <v>4487.900000000006</v>
      </c>
      <c r="AI38" s="105">
        <f>IF((Y38-IF(Z38&gt;0,Z38,0)-IF(AA38&gt;0,AA38,0)-IF(AB38&gt;0,AB38,0))/(AC38-AD38-AE38)&gt;0,(Y38-IF(Z38&gt;0,Z38,0)-IF(AA38&gt;0,AA38,0)-IF(AB38&gt;0,AB38,0))/(AC38-AD38-AE38),0)</f>
        <v>0</v>
      </c>
      <c r="AJ38" s="97"/>
      <c r="AK38" s="107">
        <f>IF(AI38&lt;=0.05,1.5,0)</f>
        <v>1.5</v>
      </c>
      <c r="AL38" s="99">
        <f>AJ38+AK38</f>
        <v>1.5</v>
      </c>
      <c r="AM38" s="108"/>
      <c r="AN38" s="98"/>
      <c r="AO38" s="105">
        <v>0.79500000000000004</v>
      </c>
      <c r="AP38" s="97"/>
      <c r="AQ38" s="107">
        <v>1</v>
      </c>
      <c r="AR38" s="109">
        <v>1</v>
      </c>
      <c r="AS38" s="108"/>
      <c r="AT38" s="98"/>
      <c r="AU38" s="105">
        <v>0.96299999999999997</v>
      </c>
      <c r="AV38" s="97"/>
      <c r="AW38" s="107">
        <v>1</v>
      </c>
      <c r="AX38" s="109">
        <v>1</v>
      </c>
      <c r="AY38" s="78"/>
      <c r="AZ38" s="79"/>
      <c r="BA38" s="72">
        <f>AZ38</f>
        <v>0</v>
      </c>
      <c r="BB38" s="110">
        <f t="shared" si="16"/>
        <v>6.5</v>
      </c>
    </row>
    <row r="39" spans="1:54" ht="13" x14ac:dyDescent="0.3">
      <c r="A39" s="94" t="s">
        <v>93</v>
      </c>
      <c r="B39" s="95">
        <v>0</v>
      </c>
      <c r="C39" s="95">
        <v>17974.5</v>
      </c>
      <c r="D39" s="95">
        <v>0</v>
      </c>
      <c r="E39" s="96">
        <f t="shared" si="8"/>
        <v>0</v>
      </c>
      <c r="F39" s="97"/>
      <c r="G39" s="98">
        <f t="shared" si="18"/>
        <v>1</v>
      </c>
      <c r="H39" s="99">
        <f>F39+G39</f>
        <v>1</v>
      </c>
      <c r="I39" s="100">
        <v>3500</v>
      </c>
      <c r="J39" s="100">
        <v>972483.16</v>
      </c>
      <c r="K39" s="101">
        <v>787343.9</v>
      </c>
      <c r="L39" s="100">
        <v>125415</v>
      </c>
      <c r="M39" s="95">
        <v>0</v>
      </c>
      <c r="N39" s="96">
        <f t="shared" si="10"/>
        <v>5.8602651585804487E-2</v>
      </c>
      <c r="O39" s="97"/>
      <c r="P39" s="98">
        <f t="shared" si="19"/>
        <v>1</v>
      </c>
      <c r="Q39" s="99">
        <f>O39+P39</f>
        <v>1</v>
      </c>
      <c r="R39" s="112">
        <v>3.5</v>
      </c>
      <c r="S39" s="95">
        <v>990457.7</v>
      </c>
      <c r="T39" s="103">
        <v>270290.40000000002</v>
      </c>
      <c r="U39" s="96">
        <f t="shared" si="11"/>
        <v>4.8599818403307124E-6</v>
      </c>
      <c r="V39" s="97"/>
      <c r="W39" s="98">
        <f t="shared" si="20"/>
        <v>1</v>
      </c>
      <c r="X39" s="99">
        <f t="shared" si="12"/>
        <v>1</v>
      </c>
      <c r="Y39" s="95">
        <v>17974.5</v>
      </c>
      <c r="Z39" s="104"/>
      <c r="AA39" s="104">
        <v>17974.5</v>
      </c>
      <c r="AB39" s="104"/>
      <c r="AC39" s="104">
        <v>972483.2</v>
      </c>
      <c r="AD39" s="104">
        <v>787343.9</v>
      </c>
      <c r="AE39" s="104">
        <v>125415</v>
      </c>
      <c r="AF39" s="104">
        <f t="shared" si="13"/>
        <v>59724.29999999993</v>
      </c>
      <c r="AG39" s="104">
        <f t="shared" si="23"/>
        <v>2986.2149999999965</v>
      </c>
      <c r="AH39" s="104">
        <f t="shared" si="17"/>
        <v>20960.714999999997</v>
      </c>
      <c r="AI39" s="105">
        <f t="shared" si="6"/>
        <v>0</v>
      </c>
      <c r="AJ39" s="106"/>
      <c r="AK39" s="107">
        <f>IF(AI39&lt;=0.05,1.5,0)</f>
        <v>1.5</v>
      </c>
      <c r="AL39" s="99">
        <f t="shared" si="7"/>
        <v>1.5</v>
      </c>
      <c r="AM39" s="108"/>
      <c r="AN39" s="98"/>
      <c r="AO39" s="105">
        <v>0.89300000000000002</v>
      </c>
      <c r="AP39" s="106"/>
      <c r="AQ39" s="107">
        <v>1</v>
      </c>
      <c r="AR39" s="109">
        <v>1</v>
      </c>
      <c r="AS39" s="108"/>
      <c r="AT39" s="98"/>
      <c r="AU39" s="105">
        <v>0.84</v>
      </c>
      <c r="AV39" s="106"/>
      <c r="AW39" s="107">
        <v>1</v>
      </c>
      <c r="AX39" s="109">
        <v>1</v>
      </c>
      <c r="AY39" s="78"/>
      <c r="AZ39" s="79"/>
      <c r="BA39" s="72">
        <f t="shared" si="15"/>
        <v>0</v>
      </c>
      <c r="BB39" s="110">
        <f t="shared" si="16"/>
        <v>6.5</v>
      </c>
    </row>
    <row r="40" spans="1:54" ht="13.5" thickBot="1" x14ac:dyDescent="0.35">
      <c r="A40" s="94" t="s">
        <v>94</v>
      </c>
      <c r="B40" s="95">
        <v>0</v>
      </c>
      <c r="C40" s="95">
        <v>27818.6</v>
      </c>
      <c r="D40" s="95">
        <v>0</v>
      </c>
      <c r="E40" s="96">
        <f t="shared" si="8"/>
        <v>0</v>
      </c>
      <c r="F40" s="97"/>
      <c r="G40" s="98">
        <f>IF(E40&lt;=1.05,1,0)</f>
        <v>1</v>
      </c>
      <c r="H40" s="99">
        <f t="shared" si="0"/>
        <v>1</v>
      </c>
      <c r="I40" s="100">
        <v>0</v>
      </c>
      <c r="J40" s="100">
        <v>1045355.54</v>
      </c>
      <c r="K40" s="101">
        <v>780771.54</v>
      </c>
      <c r="L40" s="100">
        <v>177693</v>
      </c>
      <c r="M40" s="95">
        <v>0</v>
      </c>
      <c r="N40" s="96">
        <f t="shared" si="10"/>
        <v>0</v>
      </c>
      <c r="O40" s="97"/>
      <c r="P40" s="98">
        <f>IF(N40&lt;=0.5,1,0)</f>
        <v>1</v>
      </c>
      <c r="Q40" s="99">
        <f t="shared" si="2"/>
        <v>1</v>
      </c>
      <c r="R40" s="112">
        <v>0</v>
      </c>
      <c r="S40" s="95">
        <v>1073174.2</v>
      </c>
      <c r="T40" s="103">
        <v>425602.6</v>
      </c>
      <c r="U40" s="96">
        <f t="shared" si="11"/>
        <v>0</v>
      </c>
      <c r="V40" s="97"/>
      <c r="W40" s="98">
        <f>IF(U40&lt;=0.15,1,0)</f>
        <v>1</v>
      </c>
      <c r="X40" s="99">
        <f t="shared" si="12"/>
        <v>1</v>
      </c>
      <c r="Y40" s="95">
        <v>27818.6</v>
      </c>
      <c r="Z40" s="104"/>
      <c r="AA40" s="104">
        <v>27818.6</v>
      </c>
      <c r="AB40" s="104"/>
      <c r="AC40" s="104">
        <v>1045355.5</v>
      </c>
      <c r="AD40" s="104">
        <v>780771.5</v>
      </c>
      <c r="AE40" s="104">
        <v>177693</v>
      </c>
      <c r="AF40" s="104">
        <f t="shared" si="13"/>
        <v>86891</v>
      </c>
      <c r="AG40" s="104">
        <f>AF40*10%</f>
        <v>8689.1</v>
      </c>
      <c r="AH40" s="104">
        <f t="shared" si="17"/>
        <v>36507.699999999997</v>
      </c>
      <c r="AI40" s="105">
        <f t="shared" si="6"/>
        <v>0</v>
      </c>
      <c r="AJ40" s="97"/>
      <c r="AK40" s="107">
        <f>IF(AI40&lt;=0.05,1.5,0)</f>
        <v>1.5</v>
      </c>
      <c r="AL40" s="99">
        <f t="shared" si="7"/>
        <v>1.5</v>
      </c>
      <c r="AM40" s="108"/>
      <c r="AN40" s="98"/>
      <c r="AO40" s="105">
        <v>0.97899999999999998</v>
      </c>
      <c r="AP40" s="97"/>
      <c r="AQ40" s="107">
        <v>1</v>
      </c>
      <c r="AR40" s="109">
        <v>1</v>
      </c>
      <c r="AS40" s="108"/>
      <c r="AT40" s="98"/>
      <c r="AU40" s="105">
        <v>0.98399999999999999</v>
      </c>
      <c r="AV40" s="97"/>
      <c r="AW40" s="107">
        <v>1</v>
      </c>
      <c r="AX40" s="109">
        <v>1</v>
      </c>
      <c r="AY40" s="78"/>
      <c r="AZ40" s="79"/>
      <c r="BA40" s="72">
        <f t="shared" si="15"/>
        <v>0</v>
      </c>
      <c r="BB40" s="110">
        <f t="shared" si="16"/>
        <v>6.5</v>
      </c>
    </row>
    <row r="41" spans="1:54" ht="14" thickTop="1" thickBot="1" x14ac:dyDescent="0.35">
      <c r="A41" s="113" t="s">
        <v>95</v>
      </c>
      <c r="B41" s="114">
        <f>SUM(B10:B40)</f>
        <v>1780723.4</v>
      </c>
      <c r="C41" s="114">
        <f>SUM(C10:C40)</f>
        <v>1118500.8999999999</v>
      </c>
      <c r="D41" s="114">
        <f>SUM(D10:D40)</f>
        <v>1534703</v>
      </c>
      <c r="E41" s="115"/>
      <c r="F41" s="115"/>
      <c r="G41" s="115"/>
      <c r="H41" s="116"/>
      <c r="I41" s="117">
        <f>SUM(I10:I40)</f>
        <v>2820592.36</v>
      </c>
      <c r="J41" s="118">
        <f>SUM(J10:J40)</f>
        <v>43865981.909999996</v>
      </c>
      <c r="K41" s="118">
        <f>SUM(K10:K40)</f>
        <v>33529700.439999998</v>
      </c>
      <c r="L41" s="118">
        <f>SUM(L10:L40)</f>
        <v>4110660</v>
      </c>
      <c r="M41" s="115">
        <f>SUM(M10:M40)</f>
        <v>0</v>
      </c>
      <c r="N41" s="115"/>
      <c r="O41" s="115"/>
      <c r="P41" s="115"/>
      <c r="Q41" s="116"/>
      <c r="R41" s="119">
        <f>SUM(R10:R40)</f>
        <v>91878.1</v>
      </c>
      <c r="S41" s="115">
        <f>SUM(S10:S40)</f>
        <v>44765153.700000018</v>
      </c>
      <c r="T41" s="120">
        <f>SUM(T10:T40)</f>
        <v>13842590.499999998</v>
      </c>
      <c r="U41" s="115"/>
      <c r="V41" s="115"/>
      <c r="W41" s="115"/>
      <c r="X41" s="116"/>
      <c r="Y41" s="121">
        <f t="shared" ref="Y41:AE41" si="24">SUM(Y10:Y40)</f>
        <v>1118500.8999999999</v>
      </c>
      <c r="Z41" s="119">
        <f t="shared" si="24"/>
        <v>0</v>
      </c>
      <c r="AA41" s="119">
        <f t="shared" si="24"/>
        <v>872480.49999999988</v>
      </c>
      <c r="AB41" s="119">
        <f t="shared" si="24"/>
        <v>0</v>
      </c>
      <c r="AC41" s="119">
        <f t="shared" si="24"/>
        <v>43865982.29999999</v>
      </c>
      <c r="AD41" s="119">
        <f t="shared" si="24"/>
        <v>33529700.399999991</v>
      </c>
      <c r="AE41" s="119">
        <f t="shared" si="24"/>
        <v>4110660</v>
      </c>
      <c r="AF41" s="122"/>
      <c r="AG41" s="122"/>
      <c r="AH41" s="122"/>
      <c r="AI41" s="115"/>
      <c r="AJ41" s="115"/>
      <c r="AK41" s="115"/>
      <c r="AL41" s="115"/>
      <c r="AM41" s="119">
        <f>SUM(AM10:AM40)</f>
        <v>0</v>
      </c>
      <c r="AN41" s="123">
        <f>SUM(AN10:AN40)</f>
        <v>0</v>
      </c>
      <c r="AO41" s="115"/>
      <c r="AP41" s="115"/>
      <c r="AQ41" s="115"/>
      <c r="AR41" s="115"/>
      <c r="AS41" s="123">
        <f>SUM(AS10:AS40)</f>
        <v>0</v>
      </c>
      <c r="AT41" s="123">
        <f>SUM(AT10:AT40)</f>
        <v>0</v>
      </c>
      <c r="AU41" s="115"/>
      <c r="AV41" s="115"/>
      <c r="AW41" s="115"/>
      <c r="AX41" s="115"/>
      <c r="AY41" s="123"/>
      <c r="AZ41" s="115"/>
      <c r="BA41" s="116"/>
      <c r="BB41" s="124"/>
    </row>
    <row r="42" spans="1:54" ht="13" thickTop="1" x14ac:dyDescent="0.25"/>
  </sheetData>
  <mergeCells count="13">
    <mergeCell ref="AM4:AR4"/>
    <mergeCell ref="AS4:AX4"/>
    <mergeCell ref="B5:D5"/>
    <mergeCell ref="R5:T5"/>
    <mergeCell ref="Y5:AA5"/>
    <mergeCell ref="AM5:AN5"/>
    <mergeCell ref="AS5:AT5"/>
    <mergeCell ref="Y4:AL4"/>
    <mergeCell ref="B1:H3"/>
    <mergeCell ref="A4:A7"/>
    <mergeCell ref="B4:H4"/>
    <mergeCell ref="I4:Q4"/>
    <mergeCell ref="R4:X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год</vt:lpstr>
      <vt:lpstr>'2023 год'!Заголовки_для_печати</vt:lpstr>
      <vt:lpstr>'2023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2023-10-26T13:06:11Z</dcterms:created>
  <dcterms:modified xsi:type="dcterms:W3CDTF">2024-02-01T06:38:32Z</dcterms:modified>
</cp:coreProperties>
</file>