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30660" windowHeight="13248"/>
  </bookViews>
  <sheets>
    <sheet name="за 3 кв." sheetId="1" r:id="rId1"/>
  </sheets>
  <definedNames>
    <definedName name="_xlnm.Print_Titles" localSheetId="0">'за 3 кв.'!$A:$A</definedName>
    <definedName name="_xlnm.Print_Area" localSheetId="0">'за 3 кв.'!$A$1:$AY$40</definedName>
  </definedNames>
  <calcPr calcId="145621"/>
</workbook>
</file>

<file path=xl/calcChain.xml><?xml version="1.0" encoding="utf-8"?>
<calcChain xmlns="http://schemas.openxmlformats.org/spreadsheetml/2006/main">
  <c r="BO41" i="1" l="1"/>
  <c r="BO42" i="1" s="1"/>
  <c r="BN41" i="1"/>
  <c r="BN42" i="1" s="1"/>
  <c r="BM41" i="1"/>
  <c r="BM42" i="1" s="1"/>
  <c r="BF41" i="1"/>
  <c r="BF42" i="1" s="1"/>
  <c r="AT40" i="1"/>
  <c r="AS40" i="1"/>
  <c r="AN40" i="1"/>
  <c r="AM40" i="1"/>
  <c r="AB40" i="1"/>
  <c r="AA40" i="1"/>
  <c r="Z40" i="1"/>
  <c r="T40" i="1"/>
  <c r="S40" i="1"/>
  <c r="R40" i="1"/>
  <c r="M40" i="1"/>
  <c r="L40" i="1"/>
  <c r="K40" i="1"/>
  <c r="J40" i="1"/>
  <c r="I40" i="1"/>
  <c r="D40" i="1"/>
  <c r="C40" i="1"/>
  <c r="B40" i="1"/>
  <c r="BG39" i="1"/>
  <c r="AU39" i="1"/>
  <c r="AW39" i="1" s="1"/>
  <c r="AX39" i="1" s="1"/>
  <c r="AO39" i="1"/>
  <c r="AQ39" i="1" s="1"/>
  <c r="AR39" i="1" s="1"/>
  <c r="AE39" i="1"/>
  <c r="AD39" i="1"/>
  <c r="AC39" i="1"/>
  <c r="Y39" i="1"/>
  <c r="U39" i="1"/>
  <c r="W39" i="1" s="1"/>
  <c r="X39" i="1" s="1"/>
  <c r="N39" i="1"/>
  <c r="P39" i="1" s="1"/>
  <c r="Q39" i="1" s="1"/>
  <c r="E39" i="1"/>
  <c r="G39" i="1" s="1"/>
  <c r="H39" i="1" s="1"/>
  <c r="BG38" i="1"/>
  <c r="BK38" i="1" s="1"/>
  <c r="AU38" i="1"/>
  <c r="AW38" i="1" s="1"/>
  <c r="AX38" i="1" s="1"/>
  <c r="AO38" i="1"/>
  <c r="AQ38" i="1" s="1"/>
  <c r="AR38" i="1" s="1"/>
  <c r="AE38" i="1"/>
  <c r="AD38" i="1"/>
  <c r="AC38" i="1"/>
  <c r="Y38" i="1"/>
  <c r="U38" i="1"/>
  <c r="W38" i="1" s="1"/>
  <c r="X38" i="1" s="1"/>
  <c r="N38" i="1"/>
  <c r="P38" i="1" s="1"/>
  <c r="Q38" i="1" s="1"/>
  <c r="E38" i="1"/>
  <c r="G38" i="1" s="1"/>
  <c r="H38" i="1" s="1"/>
  <c r="BG37" i="1"/>
  <c r="BI37" i="1" s="1"/>
  <c r="AU37" i="1"/>
  <c r="AV37" i="1" s="1"/>
  <c r="AX37" i="1" s="1"/>
  <c r="AP37" i="1"/>
  <c r="AR37" i="1" s="1"/>
  <c r="AO37" i="1"/>
  <c r="AE37" i="1"/>
  <c r="AD37" i="1"/>
  <c r="AC37" i="1"/>
  <c r="Y37" i="1"/>
  <c r="AI37" i="1" s="1"/>
  <c r="AJ37" i="1" s="1"/>
  <c r="AL37" i="1" s="1"/>
  <c r="U37" i="1"/>
  <c r="V37" i="1" s="1"/>
  <c r="X37" i="1" s="1"/>
  <c r="N37" i="1"/>
  <c r="O37" i="1" s="1"/>
  <c r="Q37" i="1" s="1"/>
  <c r="E37" i="1"/>
  <c r="F37" i="1" s="1"/>
  <c r="H37" i="1" s="1"/>
  <c r="BG36" i="1"/>
  <c r="AU36" i="1"/>
  <c r="AW36" i="1" s="1"/>
  <c r="AX36" i="1" s="1"/>
  <c r="AO36" i="1"/>
  <c r="AQ36" i="1" s="1"/>
  <c r="AR36" i="1" s="1"/>
  <c r="AE36" i="1"/>
  <c r="AD36" i="1"/>
  <c r="AC36" i="1"/>
  <c r="Y36" i="1"/>
  <c r="U36" i="1"/>
  <c r="W36" i="1" s="1"/>
  <c r="X36" i="1" s="1"/>
  <c r="P36" i="1"/>
  <c r="Q36" i="1" s="1"/>
  <c r="N36" i="1"/>
  <c r="E36" i="1"/>
  <c r="G36" i="1" s="1"/>
  <c r="H36" i="1" s="1"/>
  <c r="BG35" i="1"/>
  <c r="BI35" i="1" s="1"/>
  <c r="AU35" i="1"/>
  <c r="AV35" i="1" s="1"/>
  <c r="AX35" i="1" s="1"/>
  <c r="AO35" i="1"/>
  <c r="AP35" i="1" s="1"/>
  <c r="AR35" i="1" s="1"/>
  <c r="AE35" i="1"/>
  <c r="AD35" i="1"/>
  <c r="AC35" i="1"/>
  <c r="AF35" i="1" s="1"/>
  <c r="AG35" i="1" s="1"/>
  <c r="AH35" i="1" s="1"/>
  <c r="Y35" i="1"/>
  <c r="X35" i="1"/>
  <c r="U35" i="1"/>
  <c r="V35" i="1" s="1"/>
  <c r="O35" i="1"/>
  <c r="Q35" i="1" s="1"/>
  <c r="N35" i="1"/>
  <c r="E35" i="1"/>
  <c r="F35" i="1" s="1"/>
  <c r="H35" i="1" s="1"/>
  <c r="BG34" i="1"/>
  <c r="AU34" i="1"/>
  <c r="AW34" i="1" s="1"/>
  <c r="AX34" i="1" s="1"/>
  <c r="AO34" i="1"/>
  <c r="AQ34" i="1" s="1"/>
  <c r="AR34" i="1" s="1"/>
  <c r="AE34" i="1"/>
  <c r="AD34" i="1"/>
  <c r="AC34" i="1"/>
  <c r="Y34" i="1"/>
  <c r="U34" i="1"/>
  <c r="W34" i="1" s="1"/>
  <c r="X34" i="1" s="1"/>
  <c r="N34" i="1"/>
  <c r="P34" i="1" s="1"/>
  <c r="Q34" i="1" s="1"/>
  <c r="E34" i="1"/>
  <c r="G34" i="1" s="1"/>
  <c r="H34" i="1" s="1"/>
  <c r="BG33" i="1"/>
  <c r="BI33" i="1" s="1"/>
  <c r="AU33" i="1"/>
  <c r="AW33" i="1" s="1"/>
  <c r="AX33" i="1" s="1"/>
  <c r="AO33" i="1"/>
  <c r="AQ33" i="1" s="1"/>
  <c r="AR33" i="1" s="1"/>
  <c r="AE33" i="1"/>
  <c r="AD33" i="1"/>
  <c r="AC33" i="1"/>
  <c r="Y33" i="1"/>
  <c r="U33" i="1"/>
  <c r="W33" i="1" s="1"/>
  <c r="X33" i="1" s="1"/>
  <c r="N33" i="1"/>
  <c r="P33" i="1" s="1"/>
  <c r="Q33" i="1" s="1"/>
  <c r="E33" i="1"/>
  <c r="G33" i="1" s="1"/>
  <c r="H33" i="1" s="1"/>
  <c r="BG32" i="1"/>
  <c r="AU32" i="1"/>
  <c r="AW32" i="1" s="1"/>
  <c r="AX32" i="1" s="1"/>
  <c r="AO32" i="1"/>
  <c r="AQ32" i="1" s="1"/>
  <c r="AR32" i="1" s="1"/>
  <c r="AE32" i="1"/>
  <c r="AD32" i="1"/>
  <c r="AC32" i="1"/>
  <c r="Y32" i="1"/>
  <c r="U32" i="1"/>
  <c r="W32" i="1" s="1"/>
  <c r="X32" i="1" s="1"/>
  <c r="N32" i="1"/>
  <c r="P32" i="1" s="1"/>
  <c r="Q32" i="1" s="1"/>
  <c r="E32" i="1"/>
  <c r="G32" i="1" s="1"/>
  <c r="H32" i="1" s="1"/>
  <c r="BG31" i="1"/>
  <c r="BI31" i="1" s="1"/>
  <c r="AU31" i="1"/>
  <c r="AW31" i="1" s="1"/>
  <c r="AX31" i="1" s="1"/>
  <c r="AQ31" i="1"/>
  <c r="AR31" i="1" s="1"/>
  <c r="AO31" i="1"/>
  <c r="AE31" i="1"/>
  <c r="AD31" i="1"/>
  <c r="AC31" i="1"/>
  <c r="AF31" i="1" s="1"/>
  <c r="AG31" i="1" s="1"/>
  <c r="AH31" i="1" s="1"/>
  <c r="Y31" i="1"/>
  <c r="X31" i="1"/>
  <c r="U31" i="1"/>
  <c r="W31" i="1" s="1"/>
  <c r="P31" i="1"/>
  <c r="Q31" i="1" s="1"/>
  <c r="N31" i="1"/>
  <c r="H31" i="1"/>
  <c r="E31" i="1"/>
  <c r="G31" i="1" s="1"/>
  <c r="BG30" i="1"/>
  <c r="AU30" i="1"/>
  <c r="AW30" i="1" s="1"/>
  <c r="AX30" i="1" s="1"/>
  <c r="AO30" i="1"/>
  <c r="AQ30" i="1" s="1"/>
  <c r="AR30" i="1" s="1"/>
  <c r="AE30" i="1"/>
  <c r="AD30" i="1"/>
  <c r="AC30" i="1"/>
  <c r="Y30" i="1"/>
  <c r="U30" i="1"/>
  <c r="W30" i="1" s="1"/>
  <c r="X30" i="1" s="1"/>
  <c r="N30" i="1"/>
  <c r="P30" i="1" s="1"/>
  <c r="Q30" i="1" s="1"/>
  <c r="E30" i="1"/>
  <c r="G30" i="1" s="1"/>
  <c r="H30" i="1" s="1"/>
  <c r="BG29" i="1"/>
  <c r="BI29" i="1" s="1"/>
  <c r="AU29" i="1"/>
  <c r="AW29" i="1" s="1"/>
  <c r="AX29" i="1" s="1"/>
  <c r="AO29" i="1"/>
  <c r="AQ29" i="1" s="1"/>
  <c r="AR29" i="1" s="1"/>
  <c r="AE29" i="1"/>
  <c r="AD29" i="1"/>
  <c r="AC29" i="1"/>
  <c r="Y29" i="1"/>
  <c r="U29" i="1"/>
  <c r="W29" i="1" s="1"/>
  <c r="X29" i="1" s="1"/>
  <c r="N29" i="1"/>
  <c r="P29" i="1" s="1"/>
  <c r="Q29" i="1" s="1"/>
  <c r="E29" i="1"/>
  <c r="G29" i="1" s="1"/>
  <c r="H29" i="1" s="1"/>
  <c r="BG28" i="1"/>
  <c r="AU28" i="1"/>
  <c r="AW28" i="1" s="1"/>
  <c r="AX28" i="1" s="1"/>
  <c r="AO28" i="1"/>
  <c r="AQ28" i="1" s="1"/>
  <c r="AR28" i="1" s="1"/>
  <c r="AE28" i="1"/>
  <c r="AD28" i="1"/>
  <c r="AC28" i="1"/>
  <c r="Y28" i="1"/>
  <c r="U28" i="1"/>
  <c r="W28" i="1" s="1"/>
  <c r="X28" i="1" s="1"/>
  <c r="N28" i="1"/>
  <c r="P28" i="1" s="1"/>
  <c r="Q28" i="1" s="1"/>
  <c r="E28" i="1"/>
  <c r="G28" i="1" s="1"/>
  <c r="H28" i="1" s="1"/>
  <c r="BG27" i="1"/>
  <c r="BI27" i="1" s="1"/>
  <c r="AU27" i="1"/>
  <c r="AW27" i="1" s="1"/>
  <c r="AX27" i="1" s="1"/>
  <c r="AO27" i="1"/>
  <c r="AQ27" i="1" s="1"/>
  <c r="AR27" i="1" s="1"/>
  <c r="AE27" i="1"/>
  <c r="AD27" i="1"/>
  <c r="AC27" i="1"/>
  <c r="AF27" i="1" s="1"/>
  <c r="AG27" i="1" s="1"/>
  <c r="AH27" i="1" s="1"/>
  <c r="Y27" i="1"/>
  <c r="X27" i="1"/>
  <c r="U27" i="1"/>
  <c r="W27" i="1" s="1"/>
  <c r="P27" i="1"/>
  <c r="Q27" i="1" s="1"/>
  <c r="N27" i="1"/>
  <c r="H27" i="1"/>
  <c r="E27" i="1"/>
  <c r="G27" i="1" s="1"/>
  <c r="BG26" i="1"/>
  <c r="AU26" i="1"/>
  <c r="AW26" i="1" s="1"/>
  <c r="AX26" i="1" s="1"/>
  <c r="AO26" i="1"/>
  <c r="AQ26" i="1" s="1"/>
  <c r="AR26" i="1" s="1"/>
  <c r="AE26" i="1"/>
  <c r="AD26" i="1"/>
  <c r="AC26" i="1"/>
  <c r="Y26" i="1"/>
  <c r="U26" i="1"/>
  <c r="W26" i="1" s="1"/>
  <c r="X26" i="1" s="1"/>
  <c r="N26" i="1"/>
  <c r="P26" i="1" s="1"/>
  <c r="Q26" i="1" s="1"/>
  <c r="E26" i="1"/>
  <c r="G26" i="1" s="1"/>
  <c r="H26" i="1" s="1"/>
  <c r="BG25" i="1"/>
  <c r="BI25" i="1" s="1"/>
  <c r="AU25" i="1"/>
  <c r="AW25" i="1" s="1"/>
  <c r="AX25" i="1" s="1"/>
  <c r="AO25" i="1"/>
  <c r="AQ25" i="1" s="1"/>
  <c r="AR25" i="1" s="1"/>
  <c r="AE25" i="1"/>
  <c r="AD25" i="1"/>
  <c r="AC25" i="1"/>
  <c r="Y25" i="1"/>
  <c r="U25" i="1"/>
  <c r="W25" i="1" s="1"/>
  <c r="X25" i="1" s="1"/>
  <c r="N25" i="1"/>
  <c r="P25" i="1" s="1"/>
  <c r="Q25" i="1" s="1"/>
  <c r="E25" i="1"/>
  <c r="G25" i="1" s="1"/>
  <c r="H25" i="1" s="1"/>
  <c r="BG24" i="1"/>
  <c r="BJ24" i="1" s="1"/>
  <c r="AU24" i="1"/>
  <c r="AW24" i="1" s="1"/>
  <c r="AX24" i="1" s="1"/>
  <c r="AO24" i="1"/>
  <c r="AQ24" i="1" s="1"/>
  <c r="AR24" i="1" s="1"/>
  <c r="AE24" i="1"/>
  <c r="AD24" i="1"/>
  <c r="AC24" i="1"/>
  <c r="Y24" i="1"/>
  <c r="U24" i="1"/>
  <c r="W24" i="1" s="1"/>
  <c r="X24" i="1" s="1"/>
  <c r="N24" i="1"/>
  <c r="P24" i="1" s="1"/>
  <c r="Q24" i="1" s="1"/>
  <c r="E24" i="1"/>
  <c r="G24" i="1" s="1"/>
  <c r="H24" i="1" s="1"/>
  <c r="BG23" i="1"/>
  <c r="BJ23" i="1" s="1"/>
  <c r="AU23" i="1"/>
  <c r="AW23" i="1" s="1"/>
  <c r="AX23" i="1" s="1"/>
  <c r="AO23" i="1"/>
  <c r="AQ23" i="1" s="1"/>
  <c r="AR23" i="1" s="1"/>
  <c r="AE23" i="1"/>
  <c r="AD23" i="1"/>
  <c r="AC23" i="1"/>
  <c r="Y23" i="1"/>
  <c r="U23" i="1"/>
  <c r="W23" i="1" s="1"/>
  <c r="X23" i="1" s="1"/>
  <c r="N23" i="1"/>
  <c r="P23" i="1" s="1"/>
  <c r="Q23" i="1" s="1"/>
  <c r="E23" i="1"/>
  <c r="G23" i="1" s="1"/>
  <c r="H23" i="1" s="1"/>
  <c r="BG22" i="1"/>
  <c r="BJ22" i="1" s="1"/>
  <c r="AU22" i="1"/>
  <c r="AW22" i="1" s="1"/>
  <c r="AX22" i="1" s="1"/>
  <c r="AO22" i="1"/>
  <c r="AQ22" i="1" s="1"/>
  <c r="AR22" i="1" s="1"/>
  <c r="AE22" i="1"/>
  <c r="AD22" i="1"/>
  <c r="AZ22" i="1" s="1"/>
  <c r="BC22" i="1" s="1"/>
  <c r="AC22" i="1"/>
  <c r="Y22" i="1"/>
  <c r="AI22" i="1" s="1"/>
  <c r="AK22" i="1" s="1"/>
  <c r="AL22" i="1" s="1"/>
  <c r="U22" i="1"/>
  <c r="W22" i="1" s="1"/>
  <c r="X22" i="1" s="1"/>
  <c r="N22" i="1"/>
  <c r="P22" i="1" s="1"/>
  <c r="Q22" i="1" s="1"/>
  <c r="E22" i="1"/>
  <c r="G22" i="1" s="1"/>
  <c r="H22" i="1" s="1"/>
  <c r="BJ21" i="1"/>
  <c r="BG21" i="1"/>
  <c r="AU21" i="1"/>
  <c r="AV21" i="1" s="1"/>
  <c r="AX21" i="1" s="1"/>
  <c r="AO21" i="1"/>
  <c r="AP21" i="1" s="1"/>
  <c r="AR21" i="1" s="1"/>
  <c r="AE21" i="1"/>
  <c r="AD21" i="1"/>
  <c r="AC21" i="1"/>
  <c r="Y21" i="1"/>
  <c r="U21" i="1"/>
  <c r="V21" i="1" s="1"/>
  <c r="X21" i="1" s="1"/>
  <c r="N21" i="1"/>
  <c r="O21" i="1" s="1"/>
  <c r="Q21" i="1" s="1"/>
  <c r="F21" i="1"/>
  <c r="H21" i="1" s="1"/>
  <c r="E21" i="1"/>
  <c r="BG20" i="1"/>
  <c r="BK20" i="1" s="1"/>
  <c r="AU20" i="1"/>
  <c r="AW20" i="1" s="1"/>
  <c r="AX20" i="1" s="1"/>
  <c r="AO20" i="1"/>
  <c r="AQ20" i="1" s="1"/>
  <c r="AR20" i="1" s="1"/>
  <c r="AE20" i="1"/>
  <c r="AD20" i="1"/>
  <c r="AC20" i="1"/>
  <c r="Y20" i="1"/>
  <c r="U20" i="1"/>
  <c r="W20" i="1" s="1"/>
  <c r="X20" i="1" s="1"/>
  <c r="N20" i="1"/>
  <c r="P20" i="1" s="1"/>
  <c r="Q20" i="1" s="1"/>
  <c r="E20" i="1"/>
  <c r="G20" i="1" s="1"/>
  <c r="H20" i="1" s="1"/>
  <c r="BH19" i="1"/>
  <c r="BG19" i="1"/>
  <c r="BK19" i="1" s="1"/>
  <c r="AU19" i="1"/>
  <c r="AW19" i="1" s="1"/>
  <c r="AX19" i="1" s="1"/>
  <c r="AO19" i="1"/>
  <c r="AQ19" i="1" s="1"/>
  <c r="AR19" i="1" s="1"/>
  <c r="AE19" i="1"/>
  <c r="AD19" i="1"/>
  <c r="AC19" i="1"/>
  <c r="Y19" i="1"/>
  <c r="U19" i="1"/>
  <c r="W19" i="1" s="1"/>
  <c r="X19" i="1" s="1"/>
  <c r="N19" i="1"/>
  <c r="P19" i="1" s="1"/>
  <c r="Q19" i="1" s="1"/>
  <c r="E19" i="1"/>
  <c r="G19" i="1" s="1"/>
  <c r="H19" i="1" s="1"/>
  <c r="BG18" i="1"/>
  <c r="AU18" i="1"/>
  <c r="AW18" i="1" s="1"/>
  <c r="AX18" i="1" s="1"/>
  <c r="AO18" i="1"/>
  <c r="AQ18" i="1" s="1"/>
  <c r="AR18" i="1" s="1"/>
  <c r="AE18" i="1"/>
  <c r="AD18" i="1"/>
  <c r="AZ18" i="1" s="1"/>
  <c r="BC18" i="1" s="1"/>
  <c r="AC18" i="1"/>
  <c r="Y18" i="1"/>
  <c r="AI18" i="1" s="1"/>
  <c r="AK18" i="1" s="1"/>
  <c r="AL18" i="1" s="1"/>
  <c r="U18" i="1"/>
  <c r="W18" i="1" s="1"/>
  <c r="X18" i="1" s="1"/>
  <c r="N18" i="1"/>
  <c r="P18" i="1" s="1"/>
  <c r="Q18" i="1" s="1"/>
  <c r="E18" i="1"/>
  <c r="G18" i="1" s="1"/>
  <c r="H18" i="1" s="1"/>
  <c r="BH17" i="1"/>
  <c r="BG17" i="1"/>
  <c r="AW17" i="1"/>
  <c r="AX17" i="1" s="1"/>
  <c r="AU17" i="1"/>
  <c r="AR17" i="1"/>
  <c r="AO17" i="1"/>
  <c r="AQ17" i="1" s="1"/>
  <c r="AE17" i="1"/>
  <c r="AD17" i="1"/>
  <c r="AC17" i="1"/>
  <c r="Y17" i="1"/>
  <c r="W17" i="1"/>
  <c r="X17" i="1" s="1"/>
  <c r="U17" i="1"/>
  <c r="N17" i="1"/>
  <c r="P17" i="1" s="1"/>
  <c r="Q17" i="1" s="1"/>
  <c r="E17" i="1"/>
  <c r="G17" i="1" s="1"/>
  <c r="H17" i="1" s="1"/>
  <c r="BG16" i="1"/>
  <c r="BK16" i="1" s="1"/>
  <c r="AU16" i="1"/>
  <c r="AV16" i="1" s="1"/>
  <c r="AX16" i="1" s="1"/>
  <c r="AO16" i="1"/>
  <c r="AP16" i="1" s="1"/>
  <c r="AR16" i="1" s="1"/>
  <c r="AE16" i="1"/>
  <c r="AD16" i="1"/>
  <c r="AC16" i="1"/>
  <c r="Y16" i="1"/>
  <c r="U16" i="1"/>
  <c r="V16" i="1" s="1"/>
  <c r="X16" i="1" s="1"/>
  <c r="N16" i="1"/>
  <c r="O16" i="1" s="1"/>
  <c r="Q16" i="1" s="1"/>
  <c r="E16" i="1"/>
  <c r="F16" i="1" s="1"/>
  <c r="H16" i="1" s="1"/>
  <c r="BG15" i="1"/>
  <c r="BK15" i="1" s="1"/>
  <c r="AU15" i="1"/>
  <c r="AV15" i="1" s="1"/>
  <c r="AX15" i="1" s="1"/>
  <c r="AO15" i="1"/>
  <c r="AP15" i="1" s="1"/>
  <c r="AR15" i="1" s="1"/>
  <c r="AE15" i="1"/>
  <c r="AD15" i="1"/>
  <c r="AC15" i="1"/>
  <c r="Y15" i="1"/>
  <c r="AI15" i="1" s="1"/>
  <c r="AJ15" i="1" s="1"/>
  <c r="AL15" i="1" s="1"/>
  <c r="U15" i="1"/>
  <c r="V15" i="1" s="1"/>
  <c r="X15" i="1" s="1"/>
  <c r="N15" i="1"/>
  <c r="O15" i="1" s="1"/>
  <c r="Q15" i="1" s="1"/>
  <c r="E15" i="1"/>
  <c r="F15" i="1" s="1"/>
  <c r="H15" i="1" s="1"/>
  <c r="BH14" i="1"/>
  <c r="BG14" i="1"/>
  <c r="BK14" i="1" s="1"/>
  <c r="AU14" i="1"/>
  <c r="AW14" i="1" s="1"/>
  <c r="AX14" i="1" s="1"/>
  <c r="AO14" i="1"/>
  <c r="AQ14" i="1" s="1"/>
  <c r="AR14" i="1" s="1"/>
  <c r="AE14" i="1"/>
  <c r="AD14" i="1"/>
  <c r="AC14" i="1"/>
  <c r="Y14" i="1"/>
  <c r="W14" i="1"/>
  <c r="X14" i="1" s="1"/>
  <c r="U14" i="1"/>
  <c r="Q14" i="1"/>
  <c r="N14" i="1"/>
  <c r="P14" i="1" s="1"/>
  <c r="G14" i="1"/>
  <c r="H14" i="1" s="1"/>
  <c r="E14" i="1"/>
  <c r="BG13" i="1"/>
  <c r="BK13" i="1" s="1"/>
  <c r="AU13" i="1"/>
  <c r="AV13" i="1" s="1"/>
  <c r="AX13" i="1" s="1"/>
  <c r="AO13" i="1"/>
  <c r="AP13" i="1" s="1"/>
  <c r="AR13" i="1" s="1"/>
  <c r="AE13" i="1"/>
  <c r="AD13" i="1"/>
  <c r="AC13" i="1"/>
  <c r="Y13" i="1"/>
  <c r="U13" i="1"/>
  <c r="V13" i="1" s="1"/>
  <c r="X13" i="1" s="1"/>
  <c r="N13" i="1"/>
  <c r="O13" i="1" s="1"/>
  <c r="Q13" i="1" s="1"/>
  <c r="E13" i="1"/>
  <c r="F13" i="1" s="1"/>
  <c r="H13" i="1" s="1"/>
  <c r="BG12" i="1"/>
  <c r="BK12" i="1" s="1"/>
  <c r="AV12" i="1"/>
  <c r="AX12" i="1" s="1"/>
  <c r="AU12" i="1"/>
  <c r="AO12" i="1"/>
  <c r="AP12" i="1" s="1"/>
  <c r="AR12" i="1" s="1"/>
  <c r="AE12" i="1"/>
  <c r="AD12" i="1"/>
  <c r="AZ12" i="1" s="1"/>
  <c r="BC12" i="1" s="1"/>
  <c r="AC12" i="1"/>
  <c r="Y12" i="1"/>
  <c r="AI12" i="1" s="1"/>
  <c r="AJ12" i="1" s="1"/>
  <c r="AL12" i="1" s="1"/>
  <c r="U12" i="1"/>
  <c r="V12" i="1" s="1"/>
  <c r="X12" i="1" s="1"/>
  <c r="N12" i="1"/>
  <c r="O12" i="1" s="1"/>
  <c r="Q12" i="1" s="1"/>
  <c r="E12" i="1"/>
  <c r="F12" i="1" s="1"/>
  <c r="H12" i="1" s="1"/>
  <c r="BG11" i="1"/>
  <c r="BK11" i="1" s="1"/>
  <c r="AU11" i="1"/>
  <c r="AV11" i="1" s="1"/>
  <c r="AX11" i="1" s="1"/>
  <c r="AO11" i="1"/>
  <c r="AP11" i="1" s="1"/>
  <c r="AR11" i="1" s="1"/>
  <c r="AE11" i="1"/>
  <c r="AD11" i="1"/>
  <c r="AZ11" i="1" s="1"/>
  <c r="BC11" i="1" s="1"/>
  <c r="AC11" i="1"/>
  <c r="Y11" i="1"/>
  <c r="AI11" i="1" s="1"/>
  <c r="AJ11" i="1" s="1"/>
  <c r="AL11" i="1" s="1"/>
  <c r="U11" i="1"/>
  <c r="V11" i="1" s="1"/>
  <c r="X11" i="1" s="1"/>
  <c r="N11" i="1"/>
  <c r="O11" i="1" s="1"/>
  <c r="Q11" i="1" s="1"/>
  <c r="E11" i="1"/>
  <c r="F11" i="1" s="1"/>
  <c r="H11" i="1" s="1"/>
  <c r="BH10" i="1"/>
  <c r="BG10" i="1"/>
  <c r="BK10" i="1" s="1"/>
  <c r="AU10" i="1"/>
  <c r="AV10" i="1" s="1"/>
  <c r="AX10" i="1" s="1"/>
  <c r="AO10" i="1"/>
  <c r="AP10" i="1" s="1"/>
  <c r="AR10" i="1" s="1"/>
  <c r="AE10" i="1"/>
  <c r="AD10" i="1"/>
  <c r="AC10" i="1"/>
  <c r="Y10" i="1"/>
  <c r="V10" i="1"/>
  <c r="X10" i="1" s="1"/>
  <c r="U10" i="1"/>
  <c r="Q10" i="1"/>
  <c r="N10" i="1"/>
  <c r="O10" i="1" s="1"/>
  <c r="F10" i="1"/>
  <c r="H10" i="1" s="1"/>
  <c r="E10" i="1"/>
  <c r="BG9" i="1"/>
  <c r="BH9" i="1" s="1"/>
  <c r="AU9" i="1"/>
  <c r="AV9" i="1" s="1"/>
  <c r="AX9" i="1" s="1"/>
  <c r="AO9" i="1"/>
  <c r="AP9" i="1" s="1"/>
  <c r="AR9" i="1" s="1"/>
  <c r="AE9" i="1"/>
  <c r="AD9" i="1"/>
  <c r="AC9" i="1"/>
  <c r="Y9" i="1"/>
  <c r="U9" i="1"/>
  <c r="V9" i="1" s="1"/>
  <c r="X9" i="1" s="1"/>
  <c r="N9" i="1"/>
  <c r="O9" i="1" s="1"/>
  <c r="Q9" i="1" s="1"/>
  <c r="E9" i="1"/>
  <c r="F9" i="1" s="1"/>
  <c r="H9" i="1" s="1"/>
  <c r="BL9" i="1" l="1"/>
  <c r="BL13" i="1"/>
  <c r="AZ15" i="1"/>
  <c r="BC15" i="1" s="1"/>
  <c r="AI16" i="1"/>
  <c r="AJ16" i="1" s="1"/>
  <c r="AL16" i="1" s="1"/>
  <c r="AZ16" i="1"/>
  <c r="BC16" i="1" s="1"/>
  <c r="BL20" i="1"/>
  <c r="AY21" i="1"/>
  <c r="AF38" i="1"/>
  <c r="AG38" i="1" s="1"/>
  <c r="AH38" i="1" s="1"/>
  <c r="BL10" i="1"/>
  <c r="BH13" i="1"/>
  <c r="BL14" i="1"/>
  <c r="BL19" i="1"/>
  <c r="BH20" i="1"/>
  <c r="AI21" i="1"/>
  <c r="AJ21" i="1" s="1"/>
  <c r="AL21" i="1" s="1"/>
  <c r="AZ21" i="1"/>
  <c r="BC21" i="1" s="1"/>
  <c r="AF26" i="1"/>
  <c r="AG26" i="1" s="1"/>
  <c r="AH26" i="1" s="1"/>
  <c r="AF30" i="1"/>
  <c r="AG30" i="1" s="1"/>
  <c r="AH30" i="1" s="1"/>
  <c r="AF34" i="1"/>
  <c r="AG34" i="1" s="1"/>
  <c r="AH34" i="1" s="1"/>
  <c r="AZ37" i="1"/>
  <c r="AY12" i="1"/>
  <c r="AY16" i="1"/>
  <c r="BJ11" i="1"/>
  <c r="BJ15" i="1"/>
  <c r="BJ16" i="1"/>
  <c r="BK18" i="1"/>
  <c r="BL18" i="1"/>
  <c r="BH18" i="1"/>
  <c r="AZ27" i="1"/>
  <c r="BE27" i="1" s="1"/>
  <c r="AZ30" i="1"/>
  <c r="AZ35" i="1"/>
  <c r="BE35" i="1" s="1"/>
  <c r="BJ12" i="1"/>
  <c r="BG41" i="1"/>
  <c r="BG42" i="1" s="1"/>
  <c r="BJ9" i="1"/>
  <c r="BJ40" i="1" s="1"/>
  <c r="AI10" i="1"/>
  <c r="AJ10" i="1" s="1"/>
  <c r="AL10" i="1" s="1"/>
  <c r="AY10" i="1" s="1"/>
  <c r="AZ10" i="1"/>
  <c r="BC10" i="1" s="1"/>
  <c r="BJ10" i="1"/>
  <c r="BH11" i="1"/>
  <c r="BL11" i="1"/>
  <c r="BH12" i="1"/>
  <c r="BL12" i="1"/>
  <c r="AI13" i="1"/>
  <c r="AJ13" i="1" s="1"/>
  <c r="AL13" i="1" s="1"/>
  <c r="AY13" i="1" s="1"/>
  <c r="AZ13" i="1"/>
  <c r="BC13" i="1" s="1"/>
  <c r="BJ13" i="1"/>
  <c r="AI14" i="1"/>
  <c r="AK14" i="1" s="1"/>
  <c r="AL14" i="1" s="1"/>
  <c r="AY14" i="1" s="1"/>
  <c r="AZ14" i="1"/>
  <c r="BC14" i="1" s="1"/>
  <c r="BJ14" i="1"/>
  <c r="BH15" i="1"/>
  <c r="BL15" i="1"/>
  <c r="BH16" i="1"/>
  <c r="BL16" i="1"/>
  <c r="AI17" i="1"/>
  <c r="AK17" i="1" s="1"/>
  <c r="AL17" i="1" s="1"/>
  <c r="AY17" i="1" s="1"/>
  <c r="AZ17" i="1"/>
  <c r="BC17" i="1" s="1"/>
  <c r="BK17" i="1"/>
  <c r="BL17" i="1"/>
  <c r="BJ17" i="1"/>
  <c r="BJ18" i="1"/>
  <c r="BK21" i="1"/>
  <c r="BL21" i="1"/>
  <c r="BH21" i="1"/>
  <c r="BK22" i="1"/>
  <c r="BL22" i="1"/>
  <c r="BH22" i="1"/>
  <c r="BK23" i="1"/>
  <c r="BL23" i="1"/>
  <c r="BH23" i="1"/>
  <c r="BK24" i="1"/>
  <c r="BL24" i="1"/>
  <c r="BH24" i="1"/>
  <c r="AZ26" i="1"/>
  <c r="AZ31" i="1"/>
  <c r="BE31" i="1" s="1"/>
  <c r="AZ34" i="1"/>
  <c r="AZ38" i="1"/>
  <c r="BB38" i="1" s="1"/>
  <c r="BL39" i="1"/>
  <c r="BH39" i="1"/>
  <c r="AI19" i="1"/>
  <c r="AK19" i="1" s="1"/>
  <c r="AL19" i="1" s="1"/>
  <c r="AZ19" i="1"/>
  <c r="BC19" i="1" s="1"/>
  <c r="BJ19" i="1"/>
  <c r="AI20" i="1"/>
  <c r="AK20" i="1" s="1"/>
  <c r="AL20" i="1" s="1"/>
  <c r="AY20" i="1" s="1"/>
  <c r="AZ20" i="1"/>
  <c r="BC20" i="1" s="1"/>
  <c r="BJ20" i="1"/>
  <c r="AI23" i="1"/>
  <c r="AK23" i="1" s="1"/>
  <c r="AL23" i="1" s="1"/>
  <c r="AI24" i="1"/>
  <c r="AK24" i="1" s="1"/>
  <c r="AL24" i="1" s="1"/>
  <c r="AY24" i="1" s="1"/>
  <c r="AZ24" i="1"/>
  <c r="AI25" i="1"/>
  <c r="AK25" i="1" s="1"/>
  <c r="AL25" i="1" s="1"/>
  <c r="AY25" i="1" s="1"/>
  <c r="AZ25" i="1"/>
  <c r="AF28" i="1"/>
  <c r="AG28" i="1" s="1"/>
  <c r="AH28" i="1" s="1"/>
  <c r="AZ28" i="1"/>
  <c r="AF29" i="1"/>
  <c r="AG29" i="1" s="1"/>
  <c r="AH29" i="1" s="1"/>
  <c r="AZ29" i="1"/>
  <c r="AF32" i="1"/>
  <c r="AG32" i="1" s="1"/>
  <c r="AH32" i="1" s="1"/>
  <c r="AZ32" i="1"/>
  <c r="AF33" i="1"/>
  <c r="AG33" i="1" s="1"/>
  <c r="AH33" i="1" s="1"/>
  <c r="AZ33" i="1"/>
  <c r="AF36" i="1"/>
  <c r="AG36" i="1" s="1"/>
  <c r="AH36" i="1" s="1"/>
  <c r="AZ36" i="1"/>
  <c r="AF37" i="1"/>
  <c r="AG37" i="1" s="1"/>
  <c r="AH37" i="1" s="1"/>
  <c r="AI39" i="1"/>
  <c r="AK39" i="1" s="1"/>
  <c r="AL39" i="1" s="1"/>
  <c r="AF39" i="1"/>
  <c r="AG39" i="1" s="1"/>
  <c r="AH39" i="1" s="1"/>
  <c r="AY11" i="1"/>
  <c r="AY15" i="1"/>
  <c r="AY18" i="1"/>
  <c r="AY19" i="1"/>
  <c r="AY22" i="1"/>
  <c r="BD10" i="1"/>
  <c r="BB10" i="1"/>
  <c r="AF10" i="1"/>
  <c r="AG10" i="1" s="1"/>
  <c r="AH10" i="1" s="1"/>
  <c r="BA10" i="1"/>
  <c r="BE10" i="1"/>
  <c r="BD12" i="1"/>
  <c r="BB12" i="1"/>
  <c r="AF12" i="1"/>
  <c r="AG12" i="1" s="1"/>
  <c r="AH12" i="1" s="1"/>
  <c r="BA12" i="1"/>
  <c r="BE12" i="1"/>
  <c r="BD14" i="1"/>
  <c r="BB14" i="1"/>
  <c r="AF14" i="1"/>
  <c r="AG14" i="1" s="1"/>
  <c r="AH14" i="1" s="1"/>
  <c r="BA14" i="1"/>
  <c r="BE14" i="1"/>
  <c r="BD16" i="1"/>
  <c r="BB16" i="1"/>
  <c r="AF16" i="1"/>
  <c r="AG16" i="1" s="1"/>
  <c r="AH16" i="1" s="1"/>
  <c r="BA16" i="1"/>
  <c r="BE16" i="1"/>
  <c r="BD18" i="1"/>
  <c r="BB18" i="1"/>
  <c r="AF18" i="1"/>
  <c r="AG18" i="1" s="1"/>
  <c r="AH18" i="1" s="1"/>
  <c r="BA18" i="1"/>
  <c r="BE18" i="1"/>
  <c r="BD20" i="1"/>
  <c r="BB20" i="1"/>
  <c r="AF20" i="1"/>
  <c r="AG20" i="1" s="1"/>
  <c r="AH20" i="1" s="1"/>
  <c r="BA20" i="1"/>
  <c r="BE20" i="1"/>
  <c r="BD22" i="1"/>
  <c r="BB22" i="1"/>
  <c r="AF22" i="1"/>
  <c r="AG22" i="1" s="1"/>
  <c r="AH22" i="1" s="1"/>
  <c r="BA22" i="1"/>
  <c r="BE22" i="1"/>
  <c r="AY23" i="1"/>
  <c r="BE26" i="1"/>
  <c r="BC26" i="1"/>
  <c r="BA26" i="1"/>
  <c r="BD26" i="1"/>
  <c r="BB26" i="1"/>
  <c r="BC27" i="1"/>
  <c r="BB27" i="1"/>
  <c r="BE30" i="1"/>
  <c r="BC30" i="1"/>
  <c r="BA30" i="1"/>
  <c r="BD30" i="1"/>
  <c r="BB30" i="1"/>
  <c r="BC31" i="1"/>
  <c r="BB31" i="1"/>
  <c r="BE34" i="1"/>
  <c r="BC34" i="1"/>
  <c r="BA34" i="1"/>
  <c r="BD34" i="1"/>
  <c r="BB34" i="1"/>
  <c r="BC35" i="1"/>
  <c r="BB35" i="1"/>
  <c r="Y40" i="1"/>
  <c r="AI9" i="1"/>
  <c r="AJ9" i="1" s="1"/>
  <c r="AL9" i="1" s="1"/>
  <c r="AY9" i="1" s="1"/>
  <c r="AD40" i="1"/>
  <c r="AZ9" i="1"/>
  <c r="AF9" i="1"/>
  <c r="AG9" i="1" s="1"/>
  <c r="AH9" i="1" s="1"/>
  <c r="BH40" i="1"/>
  <c r="BH41" i="1"/>
  <c r="BL40" i="1"/>
  <c r="BL41" i="1"/>
  <c r="BD11" i="1"/>
  <c r="BB11" i="1"/>
  <c r="AF11" i="1"/>
  <c r="AG11" i="1" s="1"/>
  <c r="AH11" i="1" s="1"/>
  <c r="BA11" i="1"/>
  <c r="BE11" i="1"/>
  <c r="BD13" i="1"/>
  <c r="AF13" i="1"/>
  <c r="AG13" i="1" s="1"/>
  <c r="AH13" i="1" s="1"/>
  <c r="BE13" i="1"/>
  <c r="BD15" i="1"/>
  <c r="BB15" i="1"/>
  <c r="AF15" i="1"/>
  <c r="AG15" i="1" s="1"/>
  <c r="AH15" i="1" s="1"/>
  <c r="BA15" i="1"/>
  <c r="BE15" i="1"/>
  <c r="BD17" i="1"/>
  <c r="AF17" i="1"/>
  <c r="AG17" i="1" s="1"/>
  <c r="AH17" i="1" s="1"/>
  <c r="BE17" i="1"/>
  <c r="BB19" i="1"/>
  <c r="AF19" i="1"/>
  <c r="AG19" i="1" s="1"/>
  <c r="AH19" i="1" s="1"/>
  <c r="BA19" i="1"/>
  <c r="BD21" i="1"/>
  <c r="BB21" i="1"/>
  <c r="AF21" i="1"/>
  <c r="AG21" i="1" s="1"/>
  <c r="AH21" i="1" s="1"/>
  <c r="BA21" i="1"/>
  <c r="BE21" i="1"/>
  <c r="AZ23" i="1"/>
  <c r="AF23" i="1"/>
  <c r="AG23" i="1" s="1"/>
  <c r="AH23" i="1" s="1"/>
  <c r="BD24" i="1"/>
  <c r="BB24" i="1"/>
  <c r="BE24" i="1"/>
  <c r="BC24" i="1"/>
  <c r="BA24" i="1"/>
  <c r="BE25" i="1"/>
  <c r="BC25" i="1"/>
  <c r="BA25" i="1"/>
  <c r="BB25" i="1"/>
  <c r="BD25" i="1"/>
  <c r="BE28" i="1"/>
  <c r="BC28" i="1"/>
  <c r="BA28" i="1"/>
  <c r="BD28" i="1"/>
  <c r="BB28" i="1"/>
  <c r="BE29" i="1"/>
  <c r="BC29" i="1"/>
  <c r="BA29" i="1"/>
  <c r="BB29" i="1"/>
  <c r="BD29" i="1"/>
  <c r="BE32" i="1"/>
  <c r="BC32" i="1"/>
  <c r="BA32" i="1"/>
  <c r="BD32" i="1"/>
  <c r="BB32" i="1"/>
  <c r="BE33" i="1"/>
  <c r="BC33" i="1"/>
  <c r="BA33" i="1"/>
  <c r="BB33" i="1"/>
  <c r="BD33" i="1"/>
  <c r="AF24" i="1"/>
  <c r="AG24" i="1" s="1"/>
  <c r="AH24" i="1" s="1"/>
  <c r="AF25" i="1"/>
  <c r="AG25" i="1" s="1"/>
  <c r="AH25" i="1" s="1"/>
  <c r="BL26" i="1"/>
  <c r="BJ26" i="1"/>
  <c r="BH26" i="1"/>
  <c r="BK26" i="1"/>
  <c r="AI27" i="1"/>
  <c r="AK27" i="1" s="1"/>
  <c r="AL27" i="1" s="1"/>
  <c r="AY27" i="1" s="1"/>
  <c r="BL28" i="1"/>
  <c r="BJ28" i="1"/>
  <c r="BH28" i="1"/>
  <c r="BK28" i="1"/>
  <c r="AI29" i="1"/>
  <c r="AK29" i="1" s="1"/>
  <c r="AL29" i="1" s="1"/>
  <c r="AY29" i="1" s="1"/>
  <c r="BL30" i="1"/>
  <c r="BJ30" i="1"/>
  <c r="BH30" i="1"/>
  <c r="BK30" i="1"/>
  <c r="AI31" i="1"/>
  <c r="AK31" i="1" s="1"/>
  <c r="AL31" i="1" s="1"/>
  <c r="AY31" i="1" s="1"/>
  <c r="BL32" i="1"/>
  <c r="BJ32" i="1"/>
  <c r="BH32" i="1"/>
  <c r="BK32" i="1"/>
  <c r="AI33" i="1"/>
  <c r="AK33" i="1" s="1"/>
  <c r="AL33" i="1" s="1"/>
  <c r="AY33" i="1" s="1"/>
  <c r="BL34" i="1"/>
  <c r="BJ34" i="1"/>
  <c r="BH34" i="1"/>
  <c r="BK34" i="1"/>
  <c r="BE36" i="1"/>
  <c r="BC36" i="1"/>
  <c r="BA36" i="1"/>
  <c r="BD36" i="1"/>
  <c r="BL36" i="1"/>
  <c r="BJ36" i="1"/>
  <c r="BH36" i="1"/>
  <c r="BI36" i="1"/>
  <c r="BE37" i="1"/>
  <c r="BC37" i="1"/>
  <c r="BA37" i="1"/>
  <c r="BB37" i="1"/>
  <c r="AC40" i="1"/>
  <c r="AE40" i="1"/>
  <c r="BI9" i="1"/>
  <c r="BI40" i="1" s="1"/>
  <c r="BK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L25" i="1"/>
  <c r="BJ25" i="1"/>
  <c r="BH25" i="1"/>
  <c r="BK25" i="1"/>
  <c r="AI26" i="1"/>
  <c r="AK26" i="1" s="1"/>
  <c r="AL26" i="1" s="1"/>
  <c r="AY26" i="1" s="1"/>
  <c r="BI26" i="1"/>
  <c r="BL27" i="1"/>
  <c r="BJ27" i="1"/>
  <c r="BH27" i="1"/>
  <c r="BK27" i="1"/>
  <c r="AI28" i="1"/>
  <c r="AK28" i="1" s="1"/>
  <c r="AL28" i="1" s="1"/>
  <c r="AY28" i="1" s="1"/>
  <c r="BI28" i="1"/>
  <c r="BL29" i="1"/>
  <c r="BJ29" i="1"/>
  <c r="BH29" i="1"/>
  <c r="BK29" i="1"/>
  <c r="AI30" i="1"/>
  <c r="AK30" i="1" s="1"/>
  <c r="AL30" i="1" s="1"/>
  <c r="AY30" i="1" s="1"/>
  <c r="BI30" i="1"/>
  <c r="BL31" i="1"/>
  <c r="BJ31" i="1"/>
  <c r="BH31" i="1"/>
  <c r="BK31" i="1"/>
  <c r="AI32" i="1"/>
  <c r="AK32" i="1" s="1"/>
  <c r="AL32" i="1" s="1"/>
  <c r="AY32" i="1" s="1"/>
  <c r="BI32" i="1"/>
  <c r="BL33" i="1"/>
  <c r="BJ33" i="1"/>
  <c r="BH33" i="1"/>
  <c r="BK33" i="1"/>
  <c r="AI34" i="1"/>
  <c r="AK34" i="1" s="1"/>
  <c r="AL34" i="1" s="1"/>
  <c r="AY34" i="1" s="1"/>
  <c r="BI34" i="1"/>
  <c r="AI35" i="1"/>
  <c r="AJ35" i="1" s="1"/>
  <c r="AL35" i="1" s="1"/>
  <c r="AY35" i="1" s="1"/>
  <c r="BB36" i="1"/>
  <c r="BK36" i="1"/>
  <c r="AY37" i="1"/>
  <c r="BD37" i="1"/>
  <c r="BC38" i="1"/>
  <c r="BD38" i="1"/>
  <c r="BL38" i="1"/>
  <c r="BJ38" i="1"/>
  <c r="BH38" i="1"/>
  <c r="BI38" i="1"/>
  <c r="BL35" i="1"/>
  <c r="BJ35" i="1"/>
  <c r="BH35" i="1"/>
  <c r="BK35" i="1"/>
  <c r="AI36" i="1"/>
  <c r="AK36" i="1" s="1"/>
  <c r="AL36" i="1" s="1"/>
  <c r="AY36" i="1" s="1"/>
  <c r="BL37" i="1"/>
  <c r="BJ37" i="1"/>
  <c r="BH37" i="1"/>
  <c r="BK37" i="1"/>
  <c r="AI38" i="1"/>
  <c r="AK38" i="1" s="1"/>
  <c r="AL38" i="1" s="1"/>
  <c r="AY38" i="1" s="1"/>
  <c r="AY39" i="1"/>
  <c r="AZ39" i="1"/>
  <c r="BI39" i="1"/>
  <c r="BK39" i="1"/>
  <c r="BJ39" i="1"/>
  <c r="BA38" i="1" l="1"/>
  <c r="BE38" i="1"/>
  <c r="BE19" i="1"/>
  <c r="BD19" i="1"/>
  <c r="BA17" i="1"/>
  <c r="BB17" i="1"/>
  <c r="BA13" i="1"/>
  <c r="BB13" i="1"/>
  <c r="BD35" i="1"/>
  <c r="BA35" i="1"/>
  <c r="BD31" i="1"/>
  <c r="BA31" i="1"/>
  <c r="BD27" i="1"/>
  <c r="BA27" i="1"/>
  <c r="BK41" i="1"/>
  <c r="BK40" i="1"/>
  <c r="BD23" i="1"/>
  <c r="BB23" i="1"/>
  <c r="BE23" i="1"/>
  <c r="BC23" i="1"/>
  <c r="BA23" i="1"/>
  <c r="BL42" i="1"/>
  <c r="BH42" i="1"/>
  <c r="BD9" i="1"/>
  <c r="BB9" i="1"/>
  <c r="BE9" i="1"/>
  <c r="BA9" i="1"/>
  <c r="BC9" i="1"/>
  <c r="BE39" i="1"/>
  <c r="BC39" i="1"/>
  <c r="BA39" i="1"/>
  <c r="BD39" i="1"/>
  <c r="BB39" i="1"/>
  <c r="BC40" i="1" l="1"/>
  <c r="BE41" i="1"/>
  <c r="BE40" i="1"/>
  <c r="BE42" i="1" s="1"/>
  <c r="BD40" i="1"/>
  <c r="BD41" i="1"/>
  <c r="BK42" i="1"/>
  <c r="BA40" i="1"/>
  <c r="BB40" i="1"/>
  <c r="BD42" i="1" l="1"/>
</calcChain>
</file>

<file path=xl/sharedStrings.xml><?xml version="1.0" encoding="utf-8"?>
<sst xmlns="http://schemas.openxmlformats.org/spreadsheetml/2006/main" count="154" uniqueCount="110">
  <si>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</si>
  <si>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</si>
  <si>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</si>
  <si>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</si>
  <si>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</si>
  <si>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</si>
  <si>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</si>
  <si>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</si>
  <si>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</si>
  <si>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</si>
  <si>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</si>
  <si>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</si>
  <si>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</si>
  <si>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</si>
  <si>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</si>
  <si>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</si>
  <si>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</si>
  <si>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</si>
  <si>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</si>
  <si>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</si>
  <si>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</si>
  <si>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</si>
  <si>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</si>
  <si>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</si>
  <si>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</si>
  <si>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</si>
  <si>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</si>
  <si>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</si>
  <si>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</si>
  <si>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</si>
  <si>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</si>
  <si>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</si>
  <si>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</si>
  <si>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</si>
  <si>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</si>
  <si>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</si>
  <si>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</si>
  <si>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</si>
  <si>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</si>
  <si>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</si>
  <si>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</si>
  <si>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</si>
  <si>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</si>
  <si>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</si>
  <si>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</si>
  <si>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</si>
  <si>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</si>
  <si>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</si>
  <si>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</si>
  <si>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</si>
  <si>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</si>
  <si>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</si>
  <si>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</si>
  <si>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</si>
  <si>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</si>
  <si>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</si>
  <si>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</si>
  <si>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</si>
  <si>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</si>
  <si>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</si>
  <si>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</si>
  <si>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</si>
  <si>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</si>
  <si>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Доля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</si>
  <si>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</si>
  <si>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</si>
  <si>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</si>
  <si>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</si>
  <si>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</si>
  <si>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</si>
  <si>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</si>
  <si>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</si>
  <si>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</si>
  <si>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</si>
  <si>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</si>
  <si>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</si>
  <si>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</si>
  <si>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</si>
  <si>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</si>
  <si>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</si>
  <si>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</si>
  <si>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</si>
  <si>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</si>
  <si>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</si>
  <si>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</si>
  <si>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</si>
  <si>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</si>
  <si>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</si>
  <si>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</si>
  <si>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</si>
  <si>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</si>
  <si>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</si>
  <si>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</si>
  <si>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</si>
  <si>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</si>
  <si>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</si>
  <si>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</si>
  <si>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</si>
  <si>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</si>
  <si>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</si>
  <si>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</si>
  <si>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</si>
  <si>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</si>
  <si>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</si>
  <si>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</si>
  <si>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</si>
  <si>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</si>
  <si>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ГО</t>
  </si>
  <si>
    <t>МР</t>
  </si>
  <si>
    <t>Оперативный мониторинг соблюдения бюджетного законодательства и оценки качества организации и осуществления бюджетного процесса муниципальных районов (муниципальных округов, городских округов) в части соответствия требованиям Бюджетного кодекса Российской Федерации по состоянию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</si>
</sst>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_р_._-;\-* #,##0_р_._-;_-* &quot;-&quot;??_р_._-;_-@_-"/>
    <numFmt numFmtId="168" formatCode="_-* #,##0.0_р_._-;\-* #,##0.0_р_._-;_-* &quot;-&quot;??_р_._-;_-@_-"/>
    <numFmt numFmtId="169" formatCode="#,##0_ ;[Red]\-#,##0\ "/>
    <numFmt numFmtId="170" formatCode="0.000"/>
    <numFmt numFmtId="171" formatCode="0.0000"/>
    <numFmt numFmtId="172" formatCode="0.0_ ;[Red]\-0.0\ "/>
    <numFmt numFmtId="173" formatCode="0.0%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42"/>
    <xf numFmtId="0" fontId="15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0" borderId="0" xfId="0" applyFont="1" applyAlignment="1"/>
    <xf numFmtId="0" fontId="0" fillId="0" borderId="0" xfId="0" applyFill="1"/>
    <xf numFmtId="165" fontId="0" fillId="0" borderId="0" xfId="0" applyNumberFormat="1" applyFill="1"/>
    <xf numFmtId="0" fontId="5" fillId="4" borderId="7" xfId="0" applyFont="1" applyFill="1" applyBorder="1" applyAlignment="1">
      <alignment horizontal="center" vertical="center"/>
    </xf>
    <xf numFmtId="0" fontId="0" fillId="6" borderId="0" xfId="0" applyFill="1" applyBorder="1"/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/>
    <xf numFmtId="0" fontId="6" fillId="7" borderId="12" xfId="0" applyFont="1" applyFill="1" applyBorder="1" applyAlignment="1"/>
    <xf numFmtId="0" fontId="6" fillId="7" borderId="13" xfId="0" applyFont="1" applyFill="1" applyBorder="1" applyAlignment="1"/>
    <xf numFmtId="0" fontId="2" fillId="0" borderId="10" xfId="0" applyFont="1" applyBorder="1" applyAlignment="1">
      <alignment horizontal="center"/>
    </xf>
    <xf numFmtId="0" fontId="6" fillId="7" borderId="15" xfId="0" applyFont="1" applyFill="1" applyBorder="1" applyAlignment="1"/>
    <xf numFmtId="0" fontId="6" fillId="8" borderId="14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3" xfId="0" applyBorder="1"/>
    <xf numFmtId="0" fontId="0" fillId="0" borderId="24" xfId="0" applyFill="1" applyBorder="1"/>
    <xf numFmtId="0" fontId="0" fillId="0" borderId="0" xfId="0" applyFill="1" applyBorder="1"/>
    <xf numFmtId="166" fontId="0" fillId="0" borderId="0" xfId="0" applyNumberFormat="1" applyBorder="1"/>
    <xf numFmtId="0" fontId="0" fillId="0" borderId="24" xfId="0" applyBorder="1"/>
    <xf numFmtId="0" fontId="11" fillId="0" borderId="24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2" fillId="12" borderId="25" xfId="0" applyFont="1" applyFill="1" applyBorder="1" applyAlignment="1">
      <alignment horizontal="center"/>
    </xf>
    <xf numFmtId="0" fontId="12" fillId="12" borderId="20" xfId="0" applyFont="1" applyFill="1" applyBorder="1" applyAlignment="1">
      <alignment horizontal="center"/>
    </xf>
    <xf numFmtId="0" fontId="12" fillId="12" borderId="21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2" xfId="0" applyFont="1" applyFill="1" applyBorder="1" applyAlignment="1">
      <alignment horizontal="center"/>
    </xf>
    <xf numFmtId="0" fontId="6" fillId="12" borderId="20" xfId="0" applyFont="1" applyFill="1" applyBorder="1" applyAlignment="1">
      <alignment horizontal="center"/>
    </xf>
    <xf numFmtId="0" fontId="12" fillId="12" borderId="0" xfId="0" applyFont="1" applyFill="1" applyBorder="1" applyAlignment="1">
      <alignment horizontal="center"/>
    </xf>
    <xf numFmtId="17" fontId="0" fillId="2" borderId="0" xfId="0" applyNumberFormat="1" applyFill="1"/>
    <xf numFmtId="0" fontId="2" fillId="0" borderId="27" xfId="0" applyFont="1" applyBorder="1"/>
    <xf numFmtId="166" fontId="2" fillId="0" borderId="28" xfId="1" applyNumberFormat="1" applyFont="1" applyFill="1" applyBorder="1"/>
    <xf numFmtId="165" fontId="6" fillId="0" borderId="28" xfId="1" applyNumberFormat="1" applyFont="1" applyBorder="1"/>
    <xf numFmtId="167" fontId="2" fillId="0" borderId="29" xfId="1" applyNumberFormat="1" applyFont="1" applyBorder="1"/>
    <xf numFmtId="167" fontId="2" fillId="0" borderId="10" xfId="1" applyNumberFormat="1" applyFont="1" applyBorder="1"/>
    <xf numFmtId="168" fontId="6" fillId="0" borderId="30" xfId="1" applyNumberFormat="1" applyFont="1" applyBorder="1"/>
    <xf numFmtId="165" fontId="2" fillId="0" borderId="28" xfId="1" applyNumberFormat="1" applyFont="1" applyFill="1" applyBorder="1"/>
    <xf numFmtId="4" fontId="2" fillId="0" borderId="29" xfId="1" applyNumberFormat="1" applyFont="1" applyFill="1" applyBorder="1"/>
    <xf numFmtId="166" fontId="2" fillId="2" borderId="28" xfId="1" applyNumberFormat="1" applyFont="1" applyFill="1" applyBorder="1"/>
    <xf numFmtId="165" fontId="6" fillId="0" borderId="28" xfId="1" applyNumberFormat="1" applyFont="1" applyFill="1" applyBorder="1"/>
    <xf numFmtId="166" fontId="2" fillId="0" borderId="31" xfId="1" applyNumberFormat="1" applyFont="1" applyFill="1" applyBorder="1"/>
    <xf numFmtId="169" fontId="2" fillId="0" borderId="10" xfId="1" applyNumberFormat="1" applyFont="1" applyFill="1" applyBorder="1"/>
    <xf numFmtId="166" fontId="2" fillId="0" borderId="10" xfId="1" applyNumberFormat="1" applyFont="1" applyFill="1" applyBorder="1"/>
    <xf numFmtId="166" fontId="2" fillId="0" borderId="10" xfId="1" applyNumberFormat="1" applyFont="1" applyBorder="1"/>
    <xf numFmtId="170" fontId="6" fillId="0" borderId="10" xfId="1" applyNumberFormat="1" applyFont="1" applyBorder="1"/>
    <xf numFmtId="168" fontId="2" fillId="0" borderId="29" xfId="1" applyNumberFormat="1" applyFont="1" applyFill="1" applyBorder="1"/>
    <xf numFmtId="167" fontId="2" fillId="0" borderId="10" xfId="1" applyNumberFormat="1" applyFont="1" applyFill="1" applyBorder="1"/>
    <xf numFmtId="168" fontId="6" fillId="0" borderId="30" xfId="1" applyNumberFormat="1" applyFont="1" applyFill="1" applyBorder="1"/>
    <xf numFmtId="167" fontId="2" fillId="0" borderId="32" xfId="1" applyNumberFormat="1" applyFont="1" applyFill="1" applyBorder="1"/>
    <xf numFmtId="171" fontId="6" fillId="0" borderId="10" xfId="1" applyNumberFormat="1" applyFont="1" applyBorder="1"/>
    <xf numFmtId="168" fontId="2" fillId="0" borderId="29" xfId="1" applyNumberFormat="1" applyFont="1" applyBorder="1"/>
    <xf numFmtId="172" fontId="6" fillId="0" borderId="10" xfId="1" applyNumberFormat="1" applyFont="1" applyBorder="1"/>
    <xf numFmtId="168" fontId="6" fillId="0" borderId="33" xfId="2" applyNumberFormat="1" applyFont="1" applyBorder="1"/>
    <xf numFmtId="173" fontId="1" fillId="2" borderId="0" xfId="3" applyNumberFormat="1" applyFont="1" applyFill="1"/>
    <xf numFmtId="0" fontId="6" fillId="0" borderId="0" xfId="0" applyFont="1"/>
    <xf numFmtId="0" fontId="2" fillId="0" borderId="34" xfId="0" applyFont="1" applyBorder="1"/>
    <xf numFmtId="167" fontId="2" fillId="0" borderId="29" xfId="1" applyNumberFormat="1" applyFont="1" applyFill="1" applyBorder="1"/>
    <xf numFmtId="166" fontId="2" fillId="0" borderId="32" xfId="1" applyNumberFormat="1" applyFont="1" applyFill="1" applyBorder="1"/>
    <xf numFmtId="171" fontId="6" fillId="0" borderId="10" xfId="1" applyNumberFormat="1" applyFont="1" applyFill="1" applyBorder="1"/>
    <xf numFmtId="170" fontId="6" fillId="0" borderId="10" xfId="1" applyNumberFormat="1" applyFont="1" applyFill="1" applyBorder="1"/>
    <xf numFmtId="0" fontId="2" fillId="0" borderId="34" xfId="0" applyFont="1" applyFill="1" applyBorder="1"/>
    <xf numFmtId="168" fontId="2" fillId="0" borderId="10" xfId="1" applyNumberFormat="1" applyFont="1" applyFill="1" applyBorder="1"/>
    <xf numFmtId="172" fontId="6" fillId="0" borderId="10" xfId="1" applyNumberFormat="1" applyFont="1" applyFill="1" applyBorder="1"/>
    <xf numFmtId="166" fontId="2" fillId="0" borderId="28" xfId="1" applyNumberFormat="1" applyFont="1" applyBorder="1"/>
    <xf numFmtId="165" fontId="2" fillId="0" borderId="28" xfId="1" applyNumberFormat="1" applyFont="1" applyBorder="1"/>
    <xf numFmtId="166" fontId="2" fillId="0" borderId="32" xfId="1" applyNumberFormat="1" applyFont="1" applyBorder="1"/>
    <xf numFmtId="170" fontId="6" fillId="2" borderId="10" xfId="1" applyNumberFormat="1" applyFont="1" applyFill="1" applyBorder="1"/>
    <xf numFmtId="167" fontId="2" fillId="0" borderId="32" xfId="1" applyNumberFormat="1" applyFont="1" applyBorder="1"/>
    <xf numFmtId="0" fontId="2" fillId="13" borderId="34" xfId="0" applyFont="1" applyFill="1" applyBorder="1"/>
    <xf numFmtId="166" fontId="2" fillId="13" borderId="28" xfId="1" applyNumberFormat="1" applyFont="1" applyFill="1" applyBorder="1"/>
    <xf numFmtId="165" fontId="6" fillId="13" borderId="28" xfId="1" applyNumberFormat="1" applyFont="1" applyFill="1" applyBorder="1"/>
    <xf numFmtId="167" fontId="2" fillId="13" borderId="29" xfId="1" applyNumberFormat="1" applyFont="1" applyFill="1" applyBorder="1"/>
    <xf numFmtId="167" fontId="2" fillId="13" borderId="10" xfId="1" applyNumberFormat="1" applyFont="1" applyFill="1" applyBorder="1"/>
    <xf numFmtId="168" fontId="6" fillId="13" borderId="30" xfId="1" applyNumberFormat="1" applyFont="1" applyFill="1" applyBorder="1"/>
    <xf numFmtId="165" fontId="2" fillId="13" borderId="28" xfId="1" applyNumberFormat="1" applyFont="1" applyFill="1" applyBorder="1"/>
    <xf numFmtId="4" fontId="2" fillId="13" borderId="29" xfId="1" applyNumberFormat="1" applyFont="1" applyFill="1" applyBorder="1"/>
    <xf numFmtId="166" fontId="2" fillId="13" borderId="14" xfId="1" applyNumberFormat="1" applyFont="1" applyFill="1" applyBorder="1"/>
    <xf numFmtId="166" fontId="2" fillId="13" borderId="10" xfId="1" applyNumberFormat="1" applyFont="1" applyFill="1" applyBorder="1"/>
    <xf numFmtId="170" fontId="6" fillId="13" borderId="10" xfId="1" applyNumberFormat="1" applyFont="1" applyFill="1" applyBorder="1"/>
    <xf numFmtId="168" fontId="2" fillId="13" borderId="29" xfId="1" applyNumberFormat="1" applyFont="1" applyFill="1" applyBorder="1"/>
    <xf numFmtId="168" fontId="2" fillId="13" borderId="10" xfId="1" applyNumberFormat="1" applyFont="1" applyFill="1" applyBorder="1"/>
    <xf numFmtId="167" fontId="2" fillId="13" borderId="32" xfId="1" applyNumberFormat="1" applyFont="1" applyFill="1" applyBorder="1"/>
    <xf numFmtId="171" fontId="6" fillId="13" borderId="10" xfId="1" applyNumberFormat="1" applyFont="1" applyFill="1" applyBorder="1"/>
    <xf numFmtId="172" fontId="6" fillId="13" borderId="10" xfId="1" applyNumberFormat="1" applyFont="1" applyFill="1" applyBorder="1"/>
    <xf numFmtId="168" fontId="6" fillId="13" borderId="33" xfId="2" applyNumberFormat="1" applyFont="1" applyFill="1" applyBorder="1"/>
    <xf numFmtId="166" fontId="2" fillId="13" borderId="32" xfId="1" applyNumberFormat="1" applyFont="1" applyFill="1" applyBorder="1"/>
    <xf numFmtId="173" fontId="1" fillId="0" borderId="0" xfId="3" applyNumberFormat="1" applyFont="1" applyFill="1"/>
    <xf numFmtId="0" fontId="6" fillId="0" borderId="0" xfId="0" applyFont="1" applyFill="1"/>
    <xf numFmtId="0" fontId="6" fillId="12" borderId="35" xfId="0" applyFont="1" applyFill="1" applyBorder="1" applyProtection="1"/>
    <xf numFmtId="168" fontId="6" fillId="12" borderId="36" xfId="1" applyNumberFormat="1" applyFont="1" applyFill="1" applyBorder="1" applyAlignment="1">
      <alignment horizontal="center"/>
    </xf>
    <xf numFmtId="167" fontId="6" fillId="12" borderId="37" xfId="1" applyNumberFormat="1" applyFont="1" applyFill="1" applyBorder="1" applyAlignment="1">
      <alignment horizontal="center"/>
    </xf>
    <xf numFmtId="167" fontId="6" fillId="12" borderId="38" xfId="1" applyNumberFormat="1" applyFont="1" applyFill="1" applyBorder="1" applyAlignment="1">
      <alignment horizontal="center"/>
    </xf>
    <xf numFmtId="168" fontId="6" fillId="12" borderId="37" xfId="1" applyNumberFormat="1" applyFont="1" applyFill="1" applyBorder="1" applyAlignment="1">
      <alignment horizontal="center"/>
    </xf>
    <xf numFmtId="168" fontId="6" fillId="12" borderId="39" xfId="1" applyNumberFormat="1" applyFont="1" applyFill="1" applyBorder="1" applyAlignment="1">
      <alignment horizontal="center"/>
    </xf>
    <xf numFmtId="168" fontId="6" fillId="12" borderId="40" xfId="1" applyNumberFormat="1" applyFont="1" applyFill="1" applyBorder="1" applyAlignment="1">
      <alignment horizontal="center"/>
    </xf>
    <xf numFmtId="167" fontId="6" fillId="12" borderId="40" xfId="1" applyNumberFormat="1" applyFont="1" applyFill="1" applyBorder="1" applyAlignment="1">
      <alignment horizontal="center"/>
    </xf>
    <xf numFmtId="167" fontId="6" fillId="12" borderId="41" xfId="2" applyNumberFormat="1" applyFont="1" applyFill="1" applyBorder="1" applyAlignment="1">
      <alignment horizontal="center"/>
    </xf>
    <xf numFmtId="0" fontId="0" fillId="14" borderId="0" xfId="0" applyFill="1"/>
    <xf numFmtId="0" fontId="13" fillId="14" borderId="0" xfId="0" applyFont="1" applyFill="1"/>
    <xf numFmtId="0" fontId="0" fillId="0" borderId="0" xfId="0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 wrapText="1"/>
    </xf>
    <xf numFmtId="49" fontId="3" fillId="0" borderId="1" xfId="1" applyNumberFormat="1" applyFont="1" applyBorder="1" applyAlignment="1">
      <alignment horizontal="center" wrapText="1"/>
    </xf>
  </cellXfs>
  <cellStyles count="6">
    <cellStyle name="xl24" xfId="4"/>
    <cellStyle name="Обычный" xfId="0" builtinId="0"/>
    <cellStyle name="Процентный 2" xfId="3"/>
    <cellStyle name="Стиль 1" xfId="5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3"/>
  <sheetViews>
    <sheetView tabSelected="1" zoomScale="80" zoomScaleNormal="80" zoomScaleSheetLayoutView="70" workbookViewId="0">
      <pane xSplit="1" ySplit="9" topLeftCell="B10" activePane="bottomRight" state="frozen"/>
      <selection activeCell="A4" sqref="A4:A7"/>
      <selection pane="topRight" activeCell="A4" sqref="A4:A7"/>
      <selection pane="bottomLeft" activeCell="A4" sqref="A4:A7"/>
      <selection pane="bottomRight" activeCell="C5" sqref="C5"/>
    </sheetView>
  </sheetViews>
  <sheetFormatPr defaultColWidth="9.109375" defaultRowHeight="13.2" x14ac:dyDescent="0.25"/>
  <cols>
    <col min="1" max="1" width="32.3320312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21.5546875" customWidth="1"/>
    <col min="7" max="7" width="23.6640625" customWidth="1"/>
    <col min="8" max="8" width="21.55468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22.33203125" customWidth="1"/>
    <col min="16" max="16" width="17.109375" customWidth="1"/>
    <col min="17" max="17" width="19.5546875" customWidth="1"/>
    <col min="18" max="18" width="21.5546875" customWidth="1"/>
    <col min="19" max="19" width="25.33203125" customWidth="1"/>
    <col min="20" max="20" width="23.8867187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5.44140625" customWidth="1"/>
    <col min="26" max="26" width="15.109375" customWidth="1"/>
    <col min="27" max="27" width="14.5546875" customWidth="1"/>
    <col min="28" max="28" width="20.6640625" hidden="1" customWidth="1"/>
    <col min="29" max="29" width="13.5546875" customWidth="1"/>
    <col min="30" max="30" width="13.33203125" customWidth="1"/>
    <col min="31" max="31" width="13" customWidth="1"/>
    <col min="32" max="32" width="15.33203125" hidden="1" customWidth="1"/>
    <col min="33" max="33" width="20.33203125" hidden="1" customWidth="1"/>
    <col min="34" max="34" width="36.5546875" hidden="1" customWidth="1"/>
    <col min="35" max="35" width="25.44140625" customWidth="1"/>
    <col min="36" max="36" width="10.6640625" customWidth="1"/>
    <col min="37" max="37" width="16" customWidth="1"/>
    <col min="38" max="38" width="13.109375" customWidth="1"/>
    <col min="39" max="40" width="23.88671875" customWidth="1"/>
    <col min="41" max="41" width="46" customWidth="1"/>
    <col min="42" max="42" width="16.88671875" customWidth="1"/>
    <col min="43" max="43" width="21.109375" customWidth="1"/>
    <col min="44" max="44" width="20.44140625" customWidth="1"/>
    <col min="45" max="45" width="32" customWidth="1"/>
    <col min="46" max="46" width="27.44140625" customWidth="1"/>
    <col min="47" max="47" width="31.5546875" customWidth="1"/>
    <col min="48" max="48" width="16.88671875" customWidth="1"/>
    <col min="49" max="49" width="24" customWidth="1"/>
    <col min="50" max="50" width="18.5546875" customWidth="1"/>
    <col min="51" max="51" width="17.88671875" customWidth="1"/>
    <col min="52" max="52" width="0" style="6" hidden="1" customWidth="1"/>
    <col min="53" max="53" width="13.88671875" hidden="1" customWidth="1"/>
    <col min="54" max="56" width="0" style="6" hidden="1" customWidth="1"/>
    <col min="57" max="59" width="12.33203125" style="6" hidden="1" customWidth="1"/>
    <col min="60" max="60" width="11" style="6" hidden="1" customWidth="1"/>
    <col min="61" max="63" width="0" style="6" hidden="1" customWidth="1"/>
    <col min="64" max="64" width="12.33203125" style="6" hidden="1" customWidth="1"/>
    <col min="65" max="65" width="12.88671875" style="6" hidden="1" customWidth="1"/>
    <col min="66" max="66" width="13" style="6" hidden="1" customWidth="1"/>
    <col min="67" max="67" width="11" style="6" hidden="1" customWidth="1"/>
    <col min="68" max="16384" width="9.109375" style="6"/>
  </cols>
  <sheetData>
    <row r="1" spans="1:67" s="5" customFormat="1" ht="23.4" customHeight="1" x14ac:dyDescent="0.25">
      <c r="A1" s="1"/>
      <c r="B1" s="135" t="s">
        <v>109</v>
      </c>
      <c r="C1" s="135"/>
      <c r="D1" s="135"/>
      <c r="E1" s="135"/>
      <c r="F1" s="135"/>
      <c r="G1" s="135"/>
      <c r="H1" s="135"/>
      <c r="I1" s="2"/>
      <c r="J1" s="2"/>
      <c r="K1" s="2"/>
      <c r="L1" s="2"/>
      <c r="M1" s="2"/>
      <c r="N1" s="1"/>
      <c r="O1" s="1"/>
      <c r="P1" s="1"/>
      <c r="Q1" s="1"/>
      <c r="R1" s="2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3"/>
      <c r="AM1" s="3"/>
      <c r="AN1" s="4"/>
      <c r="AO1" s="4"/>
      <c r="AP1" s="4"/>
      <c r="AQ1" s="3"/>
      <c r="AR1" s="1"/>
      <c r="AS1" s="3"/>
      <c r="AT1" s="3"/>
      <c r="AU1" s="4"/>
      <c r="AV1" s="4"/>
      <c r="AW1" s="3"/>
      <c r="AX1" s="1"/>
      <c r="BA1" s="1"/>
    </row>
    <row r="2" spans="1:67" ht="23.4" customHeight="1" thickBot="1" x14ac:dyDescent="0.3">
      <c r="A2" s="7" t="s">
        <v>0</v>
      </c>
      <c r="B2" s="136"/>
      <c r="C2" s="136"/>
      <c r="D2" s="136"/>
      <c r="E2" s="136"/>
      <c r="F2" s="136"/>
      <c r="G2" s="136"/>
      <c r="H2" s="136"/>
      <c r="I2" s="8"/>
      <c r="J2" s="8"/>
      <c r="K2" s="9"/>
      <c r="L2" s="8"/>
      <c r="M2" s="8"/>
      <c r="R2" s="8"/>
      <c r="T2" s="8"/>
      <c r="Y2" s="8"/>
      <c r="AE2" s="8"/>
      <c r="AM2" s="8"/>
      <c r="AN2" s="8"/>
      <c r="AO2" s="8"/>
      <c r="BA2" s="1"/>
    </row>
    <row r="3" spans="1:67" ht="13.8" thickTop="1" x14ac:dyDescent="0.25">
      <c r="A3" s="128" t="s">
        <v>1</v>
      </c>
      <c r="B3" s="131"/>
      <c r="C3" s="132"/>
      <c r="D3" s="132"/>
      <c r="E3" s="132"/>
      <c r="F3" s="132"/>
      <c r="G3" s="132"/>
      <c r="H3" s="133"/>
      <c r="I3" s="121"/>
      <c r="J3" s="122"/>
      <c r="K3" s="122"/>
      <c r="L3" s="122"/>
      <c r="M3" s="122"/>
      <c r="N3" s="122"/>
      <c r="O3" s="122"/>
      <c r="P3" s="122"/>
      <c r="Q3" s="134"/>
      <c r="R3" s="121"/>
      <c r="S3" s="122"/>
      <c r="T3" s="122"/>
      <c r="U3" s="122"/>
      <c r="V3" s="122"/>
      <c r="W3" s="122"/>
      <c r="X3" s="134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3"/>
      <c r="AM3" s="121"/>
      <c r="AN3" s="122"/>
      <c r="AO3" s="122"/>
      <c r="AP3" s="122"/>
      <c r="AQ3" s="122"/>
      <c r="AR3" s="123"/>
      <c r="AS3" s="121"/>
      <c r="AT3" s="122"/>
      <c r="AU3" s="122"/>
      <c r="AV3" s="122"/>
      <c r="AW3" s="122"/>
      <c r="AX3" s="123"/>
      <c r="AY3" s="10"/>
      <c r="AZ3" s="11"/>
      <c r="BA3" s="1"/>
    </row>
    <row r="4" spans="1:67" x14ac:dyDescent="0.25">
      <c r="A4" s="129"/>
      <c r="B4" s="124"/>
      <c r="C4" s="125"/>
      <c r="D4" s="125"/>
      <c r="E4" s="12" t="s">
        <v>2</v>
      </c>
      <c r="F4" s="13"/>
      <c r="G4" s="14"/>
      <c r="H4" s="15"/>
      <c r="I4" s="126"/>
      <c r="J4" s="125"/>
      <c r="K4" s="125"/>
      <c r="L4" s="16"/>
      <c r="M4" s="16"/>
      <c r="N4" s="12" t="s">
        <v>3</v>
      </c>
      <c r="O4" s="13"/>
      <c r="P4" s="14"/>
      <c r="Q4" s="15"/>
      <c r="R4" s="126"/>
      <c r="S4" s="125"/>
      <c r="T4" s="125"/>
      <c r="U4" s="12" t="s">
        <v>4</v>
      </c>
      <c r="V4" s="13"/>
      <c r="W4" s="14"/>
      <c r="X4" s="15"/>
      <c r="Y4" s="127"/>
      <c r="Z4" s="125"/>
      <c r="AA4" s="125"/>
      <c r="AB4" s="16"/>
      <c r="AC4" s="16"/>
      <c r="AD4" s="16"/>
      <c r="AE4" s="16"/>
      <c r="AF4" s="16"/>
      <c r="AG4" s="16"/>
      <c r="AH4" s="16"/>
      <c r="AI4" s="12" t="s">
        <v>5</v>
      </c>
      <c r="AJ4" s="13"/>
      <c r="AK4" s="14"/>
      <c r="AL4" s="17"/>
      <c r="AM4" s="126"/>
      <c r="AN4" s="125"/>
      <c r="AO4" s="12" t="s">
        <v>6</v>
      </c>
      <c r="AP4" s="13"/>
      <c r="AQ4" s="14"/>
      <c r="AR4" s="17"/>
      <c r="AS4" s="126"/>
      <c r="AT4" s="125"/>
      <c r="AU4" s="12" t="s">
        <v>7</v>
      </c>
      <c r="AV4" s="13"/>
      <c r="AW4" s="14"/>
      <c r="AX4" s="17"/>
      <c r="AY4" s="18" t="s">
        <v>8</v>
      </c>
      <c r="AZ4" s="11"/>
      <c r="BA4" s="1"/>
    </row>
    <row r="5" spans="1:67" ht="159.75" customHeight="1" thickBot="1" x14ac:dyDescent="0.3">
      <c r="A5" s="129"/>
      <c r="B5" s="19" t="s">
        <v>9</v>
      </c>
      <c r="C5" s="19" t="s">
        <v>10</v>
      </c>
      <c r="D5" s="19" t="s">
        <v>11</v>
      </c>
      <c r="E5" s="19" t="s">
        <v>12</v>
      </c>
      <c r="F5" s="20" t="s">
        <v>13</v>
      </c>
      <c r="G5" s="20" t="s">
        <v>14</v>
      </c>
      <c r="H5" s="21" t="s">
        <v>15</v>
      </c>
      <c r="I5" s="19" t="s">
        <v>16</v>
      </c>
      <c r="J5" s="19" t="s">
        <v>17</v>
      </c>
      <c r="K5" s="19" t="s">
        <v>18</v>
      </c>
      <c r="L5" s="19" t="s">
        <v>19</v>
      </c>
      <c r="M5" s="19" t="s">
        <v>20</v>
      </c>
      <c r="N5" s="19" t="s">
        <v>21</v>
      </c>
      <c r="O5" s="20" t="s">
        <v>13</v>
      </c>
      <c r="P5" s="20" t="s">
        <v>14</v>
      </c>
      <c r="Q5" s="21" t="s">
        <v>15</v>
      </c>
      <c r="R5" s="19" t="s">
        <v>22</v>
      </c>
      <c r="S5" s="19" t="s">
        <v>23</v>
      </c>
      <c r="T5" s="19" t="s">
        <v>24</v>
      </c>
      <c r="U5" s="19" t="s">
        <v>25</v>
      </c>
      <c r="V5" s="20" t="s">
        <v>13</v>
      </c>
      <c r="W5" s="20" t="s">
        <v>14</v>
      </c>
      <c r="X5" s="21" t="s">
        <v>15</v>
      </c>
      <c r="Y5" s="19" t="s">
        <v>26</v>
      </c>
      <c r="Z5" s="19" t="s">
        <v>27</v>
      </c>
      <c r="AA5" s="19" t="s">
        <v>28</v>
      </c>
      <c r="AB5" s="19" t="s">
        <v>29</v>
      </c>
      <c r="AC5" s="19" t="s">
        <v>30</v>
      </c>
      <c r="AD5" s="19" t="s">
        <v>31</v>
      </c>
      <c r="AE5" s="19" t="s">
        <v>32</v>
      </c>
      <c r="AF5" s="22" t="s">
        <v>33</v>
      </c>
      <c r="AG5" s="22" t="s">
        <v>34</v>
      </c>
      <c r="AH5" s="22" t="s">
        <v>35</v>
      </c>
      <c r="AI5" s="19" t="s">
        <v>36</v>
      </c>
      <c r="AJ5" s="20" t="s">
        <v>13</v>
      </c>
      <c r="AK5" s="20" t="s">
        <v>14</v>
      </c>
      <c r="AL5" s="20" t="s">
        <v>15</v>
      </c>
      <c r="AM5" s="23" t="s">
        <v>37</v>
      </c>
      <c r="AN5" s="19" t="s">
        <v>38</v>
      </c>
      <c r="AO5" s="19" t="s">
        <v>39</v>
      </c>
      <c r="AP5" s="20" t="s">
        <v>13</v>
      </c>
      <c r="AQ5" s="20" t="s">
        <v>14</v>
      </c>
      <c r="AR5" s="20" t="s">
        <v>15</v>
      </c>
      <c r="AS5" s="19" t="s">
        <v>40</v>
      </c>
      <c r="AT5" s="19" t="s">
        <v>41</v>
      </c>
      <c r="AU5" s="19" t="s">
        <v>42</v>
      </c>
      <c r="AV5" s="20" t="s">
        <v>13</v>
      </c>
      <c r="AW5" s="20" t="s">
        <v>14</v>
      </c>
      <c r="AX5" s="20" t="s">
        <v>15</v>
      </c>
      <c r="AY5" s="23" t="s">
        <v>43</v>
      </c>
      <c r="AZ5" s="24"/>
      <c r="BA5" s="1" t="s">
        <v>44</v>
      </c>
    </row>
    <row r="6" spans="1:67" ht="54" thickTop="1" thickBot="1" x14ac:dyDescent="0.3">
      <c r="A6" s="130"/>
      <c r="B6" s="25" t="s">
        <v>45</v>
      </c>
      <c r="C6" s="25" t="s">
        <v>46</v>
      </c>
      <c r="D6" s="25" t="s">
        <v>47</v>
      </c>
      <c r="E6" s="25" t="s">
        <v>48</v>
      </c>
      <c r="F6" s="25" t="s">
        <v>49</v>
      </c>
      <c r="G6" s="25" t="s">
        <v>49</v>
      </c>
      <c r="H6" s="26">
        <v>1</v>
      </c>
      <c r="I6" s="25" t="s">
        <v>45</v>
      </c>
      <c r="J6" s="25" t="s">
        <v>46</v>
      </c>
      <c r="K6" s="25" t="s">
        <v>47</v>
      </c>
      <c r="L6" s="25" t="s">
        <v>50</v>
      </c>
      <c r="M6" s="25"/>
      <c r="N6" s="25" t="s">
        <v>51</v>
      </c>
      <c r="O6" s="27" t="s">
        <v>49</v>
      </c>
      <c r="P6" s="28" t="s">
        <v>52</v>
      </c>
      <c r="Q6" s="26">
        <v>1</v>
      </c>
      <c r="R6" s="25" t="s">
        <v>45</v>
      </c>
      <c r="S6" s="25" t="s">
        <v>46</v>
      </c>
      <c r="T6" s="25" t="s">
        <v>47</v>
      </c>
      <c r="U6" s="25" t="s">
        <v>53</v>
      </c>
      <c r="V6" s="25" t="s">
        <v>54</v>
      </c>
      <c r="W6" s="25" t="s">
        <v>54</v>
      </c>
      <c r="X6" s="26">
        <v>1</v>
      </c>
      <c r="Y6" s="25" t="s">
        <v>45</v>
      </c>
      <c r="Z6" s="25" t="s">
        <v>46</v>
      </c>
      <c r="AA6" s="25" t="s">
        <v>47</v>
      </c>
      <c r="AB6" s="25" t="s">
        <v>55</v>
      </c>
      <c r="AC6" s="25" t="s">
        <v>50</v>
      </c>
      <c r="AD6" s="25" t="s">
        <v>56</v>
      </c>
      <c r="AE6" s="25" t="s">
        <v>57</v>
      </c>
      <c r="AF6" s="29"/>
      <c r="AG6" s="29"/>
      <c r="AH6" s="29"/>
      <c r="AI6" s="25" t="s">
        <v>58</v>
      </c>
      <c r="AJ6" s="25" t="s">
        <v>59</v>
      </c>
      <c r="AK6" s="25" t="s">
        <v>60</v>
      </c>
      <c r="AL6" s="25">
        <v>1.5</v>
      </c>
      <c r="AM6" s="25" t="s">
        <v>45</v>
      </c>
      <c r="AN6" s="25" t="s">
        <v>46</v>
      </c>
      <c r="AO6" s="25" t="s">
        <v>61</v>
      </c>
      <c r="AP6" s="25" t="s">
        <v>49</v>
      </c>
      <c r="AQ6" s="25" t="s">
        <v>49</v>
      </c>
      <c r="AR6" s="25">
        <v>1</v>
      </c>
      <c r="AS6" s="25" t="s">
        <v>45</v>
      </c>
      <c r="AT6" s="25" t="s">
        <v>46</v>
      </c>
      <c r="AU6" s="25" t="s">
        <v>61</v>
      </c>
      <c r="AV6" s="25" t="s">
        <v>49</v>
      </c>
      <c r="AW6" s="25" t="s">
        <v>49</v>
      </c>
      <c r="AX6" s="25">
        <v>1</v>
      </c>
      <c r="AY6" s="30" t="s">
        <v>45</v>
      </c>
      <c r="AZ6" s="31"/>
      <c r="BA6" s="1"/>
    </row>
    <row r="7" spans="1:67" ht="15" thickTop="1" thickBot="1" x14ac:dyDescent="0.3">
      <c r="A7" s="32"/>
      <c r="B7" s="33" t="s">
        <v>62</v>
      </c>
      <c r="C7" s="33" t="s">
        <v>62</v>
      </c>
      <c r="D7" s="33" t="s">
        <v>62</v>
      </c>
      <c r="E7" s="33"/>
      <c r="F7" s="33"/>
      <c r="G7" s="33"/>
      <c r="H7" s="34"/>
      <c r="I7" s="35"/>
      <c r="J7" s="33"/>
      <c r="K7" s="33"/>
      <c r="L7" s="36"/>
      <c r="M7" s="36"/>
      <c r="N7" s="33"/>
      <c r="O7" s="33"/>
      <c r="P7" s="33"/>
      <c r="Q7" s="34"/>
      <c r="R7" s="35"/>
      <c r="S7" s="33"/>
      <c r="T7" s="33"/>
      <c r="U7" s="33"/>
      <c r="V7" s="33"/>
      <c r="W7" s="33"/>
      <c r="X7" s="34"/>
      <c r="Y7" s="37" t="s">
        <v>62</v>
      </c>
      <c r="Z7" s="33"/>
      <c r="AA7" s="33"/>
      <c r="AB7" s="36"/>
      <c r="AC7" s="37"/>
      <c r="AD7" s="33"/>
      <c r="AE7" s="33"/>
      <c r="AF7" s="33"/>
      <c r="AG7" s="33"/>
      <c r="AH7" s="33"/>
      <c r="AI7" s="33"/>
      <c r="AJ7" s="33"/>
      <c r="AK7" s="33"/>
      <c r="AL7" s="33"/>
      <c r="AM7" s="38"/>
      <c r="AN7" s="33"/>
      <c r="AO7" s="33"/>
      <c r="AP7" s="33"/>
      <c r="AQ7" s="33"/>
      <c r="AR7" s="33"/>
      <c r="AS7" s="38"/>
      <c r="AT7" s="33"/>
      <c r="AU7" s="33"/>
      <c r="AV7" s="33"/>
      <c r="AW7" s="33"/>
      <c r="AX7" s="33"/>
      <c r="AY7" s="39"/>
      <c r="AZ7" s="33"/>
      <c r="BA7" s="1"/>
      <c r="BJ7" s="40" t="s">
        <v>63</v>
      </c>
    </row>
    <row r="8" spans="1:67" ht="14.4" thickTop="1" thickBot="1" x14ac:dyDescent="0.3">
      <c r="A8" s="41"/>
      <c r="B8" s="42"/>
      <c r="C8" s="42"/>
      <c r="D8" s="42"/>
      <c r="E8" s="42"/>
      <c r="F8" s="42"/>
      <c r="G8" s="42"/>
      <c r="H8" s="43"/>
      <c r="I8" s="44"/>
      <c r="J8" s="42"/>
      <c r="K8" s="42"/>
      <c r="L8" s="42"/>
      <c r="M8" s="42"/>
      <c r="N8" s="42"/>
      <c r="O8" s="42"/>
      <c r="P8" s="42"/>
      <c r="Q8" s="43"/>
      <c r="R8" s="44"/>
      <c r="S8" s="42"/>
      <c r="T8" s="42"/>
      <c r="U8" s="42"/>
      <c r="V8" s="42"/>
      <c r="W8" s="42"/>
      <c r="X8" s="43"/>
      <c r="Y8" s="45"/>
      <c r="Z8" s="42"/>
      <c r="AA8" s="42"/>
      <c r="AB8" s="42"/>
      <c r="AC8" s="42"/>
      <c r="AD8" s="42"/>
      <c r="AE8" s="42"/>
      <c r="AF8" s="42"/>
      <c r="AG8" s="42"/>
      <c r="AH8" s="42"/>
      <c r="AI8" s="46" t="s">
        <v>64</v>
      </c>
      <c r="AJ8" s="42"/>
      <c r="AK8" s="42"/>
      <c r="AL8" s="42"/>
      <c r="AM8" s="44"/>
      <c r="AN8" s="42"/>
      <c r="AO8" s="42"/>
      <c r="AP8" s="42"/>
      <c r="AQ8" s="42"/>
      <c r="AR8" s="42"/>
      <c r="AS8" s="44"/>
      <c r="AT8" s="42"/>
      <c r="AU8" s="42"/>
      <c r="AV8" s="42"/>
      <c r="AW8" s="42"/>
      <c r="AX8" s="42"/>
      <c r="AY8" s="44"/>
      <c r="AZ8" s="47"/>
      <c r="BA8" s="1"/>
      <c r="BD8" s="6" t="s">
        <v>65</v>
      </c>
      <c r="BE8" s="48" t="s">
        <v>66</v>
      </c>
      <c r="BF8" s="6" t="s">
        <v>67</v>
      </c>
      <c r="BG8" s="6" t="s">
        <v>68</v>
      </c>
      <c r="BH8" s="6" t="s">
        <v>69</v>
      </c>
      <c r="BJ8" s="40" t="s">
        <v>70</v>
      </c>
      <c r="BK8" s="6" t="s">
        <v>71</v>
      </c>
      <c r="BL8" s="48" t="s">
        <v>72</v>
      </c>
      <c r="BM8" s="6" t="s">
        <v>73</v>
      </c>
      <c r="BN8" s="6" t="s">
        <v>74</v>
      </c>
      <c r="BO8" s="6" t="s">
        <v>69</v>
      </c>
    </row>
    <row r="9" spans="1:67" ht="13.8" thickTop="1" x14ac:dyDescent="0.25">
      <c r="A9" s="49" t="s">
        <v>75</v>
      </c>
      <c r="B9" s="50">
        <v>1994408.166</v>
      </c>
      <c r="C9" s="50">
        <v>237483.54756000001</v>
      </c>
      <c r="D9" s="50">
        <v>1916008.166</v>
      </c>
      <c r="E9" s="51">
        <f>IF(AND(B9=0,D9=0),0,B9/(IF(C9&gt;0,C9,0)+D9))</f>
        <v>0.92612762493661305</v>
      </c>
      <c r="F9" s="52">
        <f>IF(E9&lt;=1.05,1,0)</f>
        <v>1</v>
      </c>
      <c r="G9" s="53"/>
      <c r="H9" s="54">
        <f t="shared" ref="H9:H39" si="0">F9+G9</f>
        <v>1</v>
      </c>
      <c r="I9" s="50">
        <v>2539648.8836099999</v>
      </c>
      <c r="J9" s="55">
        <v>12848954.69964</v>
      </c>
      <c r="K9" s="56">
        <v>9408917.6897299998</v>
      </c>
      <c r="L9" s="57">
        <v>197340.83686491891</v>
      </c>
      <c r="M9" s="57">
        <v>0</v>
      </c>
      <c r="N9" s="58">
        <f>(I9-M9)/(J9-K9-L9)</f>
        <v>0.78319051433829545</v>
      </c>
      <c r="O9" s="52">
        <f t="shared" ref="O9:O15" si="1">IF(N9&lt;=1,1,0)</f>
        <v>1</v>
      </c>
      <c r="P9" s="53"/>
      <c r="Q9" s="54">
        <f t="shared" ref="Q9:Q39" si="2">O9+P9</f>
        <v>1</v>
      </c>
      <c r="R9" s="59">
        <v>158945.7856</v>
      </c>
      <c r="S9" s="50">
        <v>13086438.247200001</v>
      </c>
      <c r="T9" s="56">
        <v>3342851.2446900001</v>
      </c>
      <c r="U9" s="51">
        <f t="shared" ref="U9:U39" si="3">R9/(S9-T9)</f>
        <v>1.6312861532313996E-2</v>
      </c>
      <c r="V9" s="52">
        <f t="shared" ref="V9:V15" si="4">IF(U9&lt;=0.15,1,0)</f>
        <v>1</v>
      </c>
      <c r="W9" s="53"/>
      <c r="X9" s="54">
        <f>V9+W9</f>
        <v>1</v>
      </c>
      <c r="Y9" s="50">
        <f>C9</f>
        <v>237483.54756000001</v>
      </c>
      <c r="Z9" s="60"/>
      <c r="AA9" s="61">
        <v>159083547.56</v>
      </c>
      <c r="AB9" s="62"/>
      <c r="AC9" s="62">
        <f t="shared" ref="AC9:AE39" si="5">J9</f>
        <v>12848954.69964</v>
      </c>
      <c r="AD9" s="62">
        <f t="shared" si="5"/>
        <v>9408917.6897299998</v>
      </c>
      <c r="AE9" s="62">
        <f t="shared" si="5"/>
        <v>197340.83686491891</v>
      </c>
      <c r="AF9" s="62">
        <f>AC9-AD9-AE9</f>
        <v>3242696.1730450816</v>
      </c>
      <c r="AG9" s="62">
        <f t="shared" ref="AG9:AG16" si="6">AF9*10%</f>
        <v>324269.61730450817</v>
      </c>
      <c r="AH9" s="62">
        <f t="shared" ref="AH9:AH14" si="7">IF(AA9&gt;0,AA9,0)+AG9+IF(AB9&gt;0,AB9,0)</f>
        <v>159407817.17730451</v>
      </c>
      <c r="AI9" s="63">
        <f t="shared" ref="AI9:AI39" si="8">IF((Y9-IF(Z9&gt;0,Z9,0)-IF(AA9&gt;0,AA9,0)-IF(AB9&gt;0,AB9,0))/(AC9-AD9-AE9)&gt;0,(Y9-IF(Z9&gt;0,Z9,0)-IF(AA9&gt;0,AA9,0)-IF(AB9&gt;0,AB9,0))/(AC9-AD9-AE9),0)</f>
        <v>0</v>
      </c>
      <c r="AJ9" s="64">
        <f>IF(AI9&lt;=0.1,1.5,0)</f>
        <v>1.5</v>
      </c>
      <c r="AK9" s="65"/>
      <c r="AL9" s="66">
        <f t="shared" ref="AL9:AL39" si="9">AJ9+AK9</f>
        <v>1.5</v>
      </c>
      <c r="AM9" s="67">
        <v>292006.5</v>
      </c>
      <c r="AN9" s="65">
        <v>308985.40000000002</v>
      </c>
      <c r="AO9" s="68">
        <f t="shared" ref="AO9:AO39" si="10">AM9/AN9</f>
        <v>0.94504950719354375</v>
      </c>
      <c r="AP9" s="69">
        <f>IF(AO9&lt;=1,1,0)</f>
        <v>1</v>
      </c>
      <c r="AQ9" s="53"/>
      <c r="AR9" s="70">
        <f>AP9+AQ9</f>
        <v>1</v>
      </c>
      <c r="AS9" s="67">
        <v>549071.80000000005</v>
      </c>
      <c r="AT9" s="65">
        <v>558346.80000000005</v>
      </c>
      <c r="AU9" s="63">
        <f>AS9/AT9</f>
        <v>0.9833884603619113</v>
      </c>
      <c r="AV9" s="69">
        <f>IF(AU9&lt;=1,1,0)</f>
        <v>1</v>
      </c>
      <c r="AW9" s="53"/>
      <c r="AX9" s="70">
        <f t="shared" ref="AX9:AX39" si="11">AV9+AW9</f>
        <v>1</v>
      </c>
      <c r="AY9" s="71">
        <f>H9+Q9+X9+AL9+AR9+AX9</f>
        <v>6.5</v>
      </c>
      <c r="AZ9" s="72">
        <f t="shared" ref="AZ9:AZ39" si="12">(AD9+AE9-T9)/(AC9-T9)</f>
        <v>0.65888271799140241</v>
      </c>
      <c r="BA9" s="6">
        <f>IF(($AZ9&lt;=10%),1,0)</f>
        <v>0</v>
      </c>
      <c r="BB9" s="73">
        <f>IF(AND(AZ9&gt;10%,AZ9&lt;30%),1,0)</f>
        <v>0</v>
      </c>
      <c r="BC9" s="73">
        <f>IF(AND(AZ9&gt;30%,AZ9&lt;70%),1,0)</f>
        <v>1</v>
      </c>
      <c r="BD9" s="73">
        <f>IF(AND(AZ9&gt;70%,AZ9&lt;90%),1,0)</f>
        <v>0</v>
      </c>
      <c r="BE9" s="6">
        <f>IF(($AZ9&gt;=90%),1,0)</f>
        <v>0</v>
      </c>
      <c r="BG9" s="72" t="e">
        <f>(#REF!+L9)/(J9-T9)</f>
        <v>#REF!</v>
      </c>
      <c r="BH9" s="6" t="e">
        <f>IF(($BG9&lt;=4.9%),1,0)</f>
        <v>#REF!</v>
      </c>
      <c r="BI9" s="73" t="e">
        <f>IF(AND(BG9&gt;5%,BG9&lt;19.9%),1,0)</f>
        <v>#REF!</v>
      </c>
      <c r="BJ9" s="73" t="e">
        <f>IF(AND(BG9&gt;20%,BG9&lt;49.9%),1,0)</f>
        <v>#REF!</v>
      </c>
      <c r="BK9" s="73" t="e">
        <f>IF(AND(BG9&gt;50%,BG9&lt;89.9%),1,0)</f>
        <v>#REF!</v>
      </c>
      <c r="BL9" s="6" t="e">
        <f>IF((BG9&gt;=90%),1,0)</f>
        <v>#REF!</v>
      </c>
    </row>
    <row r="10" spans="1:67" x14ac:dyDescent="0.25">
      <c r="A10" s="74" t="s">
        <v>76</v>
      </c>
      <c r="B10" s="50">
        <v>0</v>
      </c>
      <c r="C10" s="50">
        <v>54390.556729999997</v>
      </c>
      <c r="D10" s="50">
        <v>0</v>
      </c>
      <c r="E10" s="51">
        <f t="shared" ref="E10:E39" si="13">IF(AND(B10=0,D10=0),0,B10/(IF(C10&gt;0,C10,0)+D10))</f>
        <v>0</v>
      </c>
      <c r="F10" s="75">
        <f t="shared" ref="F10:F16" si="14">IF(E10&lt;=1.05,1,0)</f>
        <v>1</v>
      </c>
      <c r="G10" s="53"/>
      <c r="H10" s="54">
        <f t="shared" si="0"/>
        <v>1</v>
      </c>
      <c r="I10" s="50">
        <v>50000</v>
      </c>
      <c r="J10" s="55">
        <v>1544363.2649900001</v>
      </c>
      <c r="K10" s="56">
        <v>1007494.53464</v>
      </c>
      <c r="L10" s="57">
        <v>243585.23361000002</v>
      </c>
      <c r="M10" s="57">
        <v>0</v>
      </c>
      <c r="N10" s="51">
        <f t="shared" ref="N10:N39" si="15">(I10-M10)/(J10-K10-L10)</f>
        <v>0.17048351017284036</v>
      </c>
      <c r="O10" s="52">
        <f t="shared" si="1"/>
        <v>1</v>
      </c>
      <c r="P10" s="53"/>
      <c r="Q10" s="54">
        <f t="shared" si="2"/>
        <v>1</v>
      </c>
      <c r="R10" s="76">
        <v>3183.75</v>
      </c>
      <c r="S10" s="50">
        <v>1598753.8217200001</v>
      </c>
      <c r="T10" s="56">
        <v>489484.55329000001</v>
      </c>
      <c r="U10" s="51">
        <f t="shared" si="3"/>
        <v>2.8701326996159442E-3</v>
      </c>
      <c r="V10" s="52">
        <f t="shared" si="4"/>
        <v>1</v>
      </c>
      <c r="W10" s="53"/>
      <c r="X10" s="54">
        <f t="shared" ref="X10:X39" si="16">V10+W10</f>
        <v>1</v>
      </c>
      <c r="Y10" s="50">
        <f t="shared" ref="Y10:Y39" si="17">C10</f>
        <v>54390.556729999997</v>
      </c>
      <c r="Z10" s="61"/>
      <c r="AA10" s="61">
        <v>54390556.729999997</v>
      </c>
      <c r="AB10" s="62"/>
      <c r="AC10" s="62">
        <f t="shared" si="5"/>
        <v>1544363.2649900001</v>
      </c>
      <c r="AD10" s="62">
        <f t="shared" si="5"/>
        <v>1007494.53464</v>
      </c>
      <c r="AE10" s="62">
        <f t="shared" si="5"/>
        <v>243585.23361000002</v>
      </c>
      <c r="AF10" s="62">
        <f t="shared" ref="AF10:AF39" si="18">AC10-AD10-AE10</f>
        <v>293283.49674000009</v>
      </c>
      <c r="AG10" s="62">
        <f t="shared" si="6"/>
        <v>29328.349674000012</v>
      </c>
      <c r="AH10" s="62">
        <f t="shared" si="7"/>
        <v>54419885.079673998</v>
      </c>
      <c r="AI10" s="63">
        <f t="shared" si="8"/>
        <v>0</v>
      </c>
      <c r="AJ10" s="64">
        <f t="shared" ref="AJ10:AJ16" si="19">IF(AI10&lt;=0.1,1.5,0)</f>
        <v>1.5</v>
      </c>
      <c r="AK10" s="53"/>
      <c r="AL10" s="54">
        <f t="shared" si="9"/>
        <v>1.5</v>
      </c>
      <c r="AM10" s="67">
        <v>38827</v>
      </c>
      <c r="AN10" s="65">
        <v>39848.6</v>
      </c>
      <c r="AO10" s="68">
        <f t="shared" si="10"/>
        <v>0.97436296381805132</v>
      </c>
      <c r="AP10" s="69">
        <f t="shared" ref="AP10:AP16" si="20">IF(AO10&lt;=1,1,0)</f>
        <v>1</v>
      </c>
      <c r="AQ10" s="53"/>
      <c r="AR10" s="70">
        <f t="shared" ref="AR10:AR37" si="21">AP10+AQ10</f>
        <v>1</v>
      </c>
      <c r="AS10" s="67">
        <v>75799.7</v>
      </c>
      <c r="AT10" s="65">
        <v>89625.5</v>
      </c>
      <c r="AU10" s="63">
        <f t="shared" ref="AU10:AU39" si="22">AS10/AT10</f>
        <v>0.84573809909010267</v>
      </c>
      <c r="AV10" s="69">
        <f t="shared" ref="AV10:AV16" si="23">IF(AU10&lt;=1,1,0)</f>
        <v>1</v>
      </c>
      <c r="AW10" s="53"/>
      <c r="AX10" s="70">
        <f t="shared" si="11"/>
        <v>1</v>
      </c>
      <c r="AY10" s="71">
        <f t="shared" ref="AY10:AY39" si="24">H10+Q10+X10+AL10+AR10+AX10</f>
        <v>6.5</v>
      </c>
      <c r="AZ10" s="72">
        <f t="shared" si="12"/>
        <v>0.72197420093220366</v>
      </c>
      <c r="BA10" s="6">
        <f t="shared" ref="BA10:BA39" si="25">IF(($AZ10&lt;=10%),1,0)</f>
        <v>0</v>
      </c>
      <c r="BB10" s="73">
        <f t="shared" ref="BB10:BB39" si="26">IF(AND(AZ10&gt;10%,AZ10&lt;30%),1,0)</f>
        <v>0</v>
      </c>
      <c r="BC10" s="73">
        <f t="shared" ref="BC10:BC39" si="27">IF(AND(AZ10&gt;30%,AZ10&lt;70%),1,0)</f>
        <v>0</v>
      </c>
      <c r="BD10" s="73">
        <f t="shared" ref="BD10:BD39" si="28">IF(AND(AZ10&gt;70%,AZ10&lt;90%),1,0)</f>
        <v>1</v>
      </c>
      <c r="BE10" s="6">
        <f t="shared" ref="BE10:BE39" si="29">IF(($AZ10&gt;=90%),1,0)</f>
        <v>0</v>
      </c>
      <c r="BG10" s="72" t="e">
        <f>(#REF!+L10)/(J10-T10)</f>
        <v>#REF!</v>
      </c>
      <c r="BH10" s="6" t="e">
        <f t="shared" ref="BH10:BH39" si="30">IF(($BG10&lt;=4.9%),1,0)</f>
        <v>#REF!</v>
      </c>
      <c r="BI10" s="73" t="e">
        <f t="shared" ref="BI10:BI39" si="31">IF(AND(BG10&gt;5%,BG10&lt;19.9%),1,0)</f>
        <v>#REF!</v>
      </c>
      <c r="BJ10" s="73" t="e">
        <f t="shared" ref="BJ10:BJ39" si="32">IF(AND(BG10&gt;20%,BG10&lt;49.9%),1,0)</f>
        <v>#REF!</v>
      </c>
      <c r="BK10" s="73" t="e">
        <f t="shared" ref="BK10:BK39" si="33">IF(AND(BG10&gt;50%,BG10&lt;89.9%),1,0)</f>
        <v>#REF!</v>
      </c>
      <c r="BL10" s="6" t="e">
        <f t="shared" ref="BL10:BL39" si="34">IF((BG10&gt;=90%),1,0)</f>
        <v>#REF!</v>
      </c>
    </row>
    <row r="11" spans="1:67" x14ac:dyDescent="0.25">
      <c r="A11" s="74" t="s">
        <v>77</v>
      </c>
      <c r="B11" s="50">
        <v>41000</v>
      </c>
      <c r="C11" s="50">
        <v>12750.881670000001</v>
      </c>
      <c r="D11" s="50">
        <v>41000</v>
      </c>
      <c r="E11" s="51">
        <f t="shared" si="13"/>
        <v>0.76277818569966538</v>
      </c>
      <c r="F11" s="52">
        <f t="shared" si="14"/>
        <v>1</v>
      </c>
      <c r="G11" s="53"/>
      <c r="H11" s="54">
        <f t="shared" si="0"/>
        <v>1</v>
      </c>
      <c r="I11" s="50">
        <v>47000</v>
      </c>
      <c r="J11" s="55">
        <v>1105640.6606400001</v>
      </c>
      <c r="K11" s="56">
        <v>840323.35250000004</v>
      </c>
      <c r="L11" s="57">
        <v>93358.885830000014</v>
      </c>
      <c r="M11" s="57">
        <v>0</v>
      </c>
      <c r="N11" s="51">
        <f t="shared" si="15"/>
        <v>0.27332188425915072</v>
      </c>
      <c r="O11" s="52">
        <f t="shared" si="1"/>
        <v>1</v>
      </c>
      <c r="P11" s="53"/>
      <c r="Q11" s="54">
        <f t="shared" si="2"/>
        <v>1</v>
      </c>
      <c r="R11" s="76">
        <v>3000</v>
      </c>
      <c r="S11" s="50">
        <v>1118391.5423099999</v>
      </c>
      <c r="T11" s="56">
        <v>394070.19357</v>
      </c>
      <c r="U11" s="51">
        <f t="shared" si="3"/>
        <v>4.1418080596667189E-3</v>
      </c>
      <c r="V11" s="52">
        <f t="shared" si="4"/>
        <v>1</v>
      </c>
      <c r="W11" s="53"/>
      <c r="X11" s="54">
        <f t="shared" si="16"/>
        <v>1</v>
      </c>
      <c r="Y11" s="50">
        <f t="shared" si="17"/>
        <v>12750.881670000001</v>
      </c>
      <c r="Z11" s="61"/>
      <c r="AA11" s="61">
        <v>12750881.67</v>
      </c>
      <c r="AB11" s="62"/>
      <c r="AC11" s="62">
        <f t="shared" si="5"/>
        <v>1105640.6606400001</v>
      </c>
      <c r="AD11" s="62">
        <f t="shared" si="5"/>
        <v>840323.35250000004</v>
      </c>
      <c r="AE11" s="62">
        <f t="shared" si="5"/>
        <v>93358.885830000014</v>
      </c>
      <c r="AF11" s="62">
        <f t="shared" si="18"/>
        <v>171958.42231000008</v>
      </c>
      <c r="AG11" s="62">
        <f t="shared" si="6"/>
        <v>17195.84223100001</v>
      </c>
      <c r="AH11" s="62">
        <f t="shared" si="7"/>
        <v>12768077.512231</v>
      </c>
      <c r="AI11" s="63">
        <f t="shared" si="8"/>
        <v>0</v>
      </c>
      <c r="AJ11" s="64">
        <f t="shared" si="19"/>
        <v>1.5</v>
      </c>
      <c r="AK11" s="53"/>
      <c r="AL11" s="54">
        <f t="shared" si="9"/>
        <v>1.5</v>
      </c>
      <c r="AM11" s="67">
        <v>28346.799999999999</v>
      </c>
      <c r="AN11" s="65">
        <v>29838.799999999999</v>
      </c>
      <c r="AO11" s="77">
        <f t="shared" si="10"/>
        <v>0.94999798919527589</v>
      </c>
      <c r="AP11" s="69">
        <f t="shared" si="20"/>
        <v>1</v>
      </c>
      <c r="AQ11" s="53"/>
      <c r="AR11" s="70">
        <f t="shared" si="21"/>
        <v>1</v>
      </c>
      <c r="AS11" s="67">
        <v>60888.5</v>
      </c>
      <c r="AT11" s="65">
        <v>68219.8</v>
      </c>
      <c r="AU11" s="78">
        <f t="shared" si="22"/>
        <v>0.89253413231935597</v>
      </c>
      <c r="AV11" s="69">
        <f t="shared" si="23"/>
        <v>1</v>
      </c>
      <c r="AW11" s="53"/>
      <c r="AX11" s="70">
        <f t="shared" si="11"/>
        <v>1</v>
      </c>
      <c r="AY11" s="71">
        <f t="shared" si="24"/>
        <v>6.5</v>
      </c>
      <c r="AZ11" s="72">
        <f t="shared" si="12"/>
        <v>0.75833957384703576</v>
      </c>
      <c r="BA11" s="6">
        <f t="shared" si="25"/>
        <v>0</v>
      </c>
      <c r="BB11" s="73">
        <f t="shared" si="26"/>
        <v>0</v>
      </c>
      <c r="BC11" s="73">
        <f t="shared" si="27"/>
        <v>0</v>
      </c>
      <c r="BD11" s="73">
        <f t="shared" si="28"/>
        <v>1</v>
      </c>
      <c r="BE11" s="6">
        <f t="shared" si="29"/>
        <v>0</v>
      </c>
      <c r="BG11" s="72" t="e">
        <f>(#REF!+L11)/(J11-T11)</f>
        <v>#REF!</v>
      </c>
      <c r="BH11" s="6" t="e">
        <f t="shared" si="30"/>
        <v>#REF!</v>
      </c>
      <c r="BI11" s="73" t="e">
        <f t="shared" si="31"/>
        <v>#REF!</v>
      </c>
      <c r="BJ11" s="73" t="e">
        <f t="shared" si="32"/>
        <v>#REF!</v>
      </c>
      <c r="BK11" s="73" t="e">
        <f t="shared" si="33"/>
        <v>#REF!</v>
      </c>
      <c r="BL11" s="6" t="e">
        <f t="shared" si="34"/>
        <v>#REF!</v>
      </c>
    </row>
    <row r="12" spans="1:67" s="8" customFormat="1" x14ac:dyDescent="0.25">
      <c r="A12" s="79" t="s">
        <v>78</v>
      </c>
      <c r="B12" s="50">
        <v>7000</v>
      </c>
      <c r="C12" s="50">
        <v>7355.5240100000001</v>
      </c>
      <c r="D12" s="50">
        <v>7000</v>
      </c>
      <c r="E12" s="58">
        <f t="shared" si="13"/>
        <v>0.48761717058352089</v>
      </c>
      <c r="F12" s="52">
        <f t="shared" si="14"/>
        <v>1</v>
      </c>
      <c r="G12" s="65"/>
      <c r="H12" s="66">
        <f t="shared" si="0"/>
        <v>1</v>
      </c>
      <c r="I12" s="50">
        <v>7000</v>
      </c>
      <c r="J12" s="55">
        <v>381821.66136000003</v>
      </c>
      <c r="K12" s="56">
        <v>274231.00886</v>
      </c>
      <c r="L12" s="50">
        <v>45003</v>
      </c>
      <c r="M12" s="50">
        <v>0</v>
      </c>
      <c r="N12" s="58">
        <f t="shared" si="15"/>
        <v>0.11184314669734573</v>
      </c>
      <c r="O12" s="52">
        <f t="shared" si="1"/>
        <v>1</v>
      </c>
      <c r="P12" s="65"/>
      <c r="Q12" s="66">
        <f t="shared" si="2"/>
        <v>1</v>
      </c>
      <c r="R12" s="76">
        <v>477.03621999999996</v>
      </c>
      <c r="S12" s="50">
        <v>389177.18537000002</v>
      </c>
      <c r="T12" s="56">
        <v>132453.42488999999</v>
      </c>
      <c r="U12" s="58">
        <f t="shared" si="3"/>
        <v>1.858169337766316E-3</v>
      </c>
      <c r="V12" s="52">
        <f t="shared" si="4"/>
        <v>1</v>
      </c>
      <c r="W12" s="65"/>
      <c r="X12" s="66">
        <f t="shared" si="16"/>
        <v>1</v>
      </c>
      <c r="Y12" s="50">
        <f t="shared" si="17"/>
        <v>7355.5240100000001</v>
      </c>
      <c r="Z12" s="61"/>
      <c r="AA12" s="61">
        <v>7355524.0099999998</v>
      </c>
      <c r="AB12" s="61"/>
      <c r="AC12" s="61">
        <f t="shared" si="5"/>
        <v>381821.66136000003</v>
      </c>
      <c r="AD12" s="61">
        <f t="shared" si="5"/>
        <v>274231.00886</v>
      </c>
      <c r="AE12" s="61">
        <f t="shared" si="5"/>
        <v>45003</v>
      </c>
      <c r="AF12" s="61">
        <f t="shared" si="18"/>
        <v>62587.652500000026</v>
      </c>
      <c r="AG12" s="62">
        <f>AF12*5%</f>
        <v>3129.3826250000016</v>
      </c>
      <c r="AH12" s="61">
        <f t="shared" si="7"/>
        <v>7358653.3926249994</v>
      </c>
      <c r="AI12" s="78">
        <f t="shared" si="8"/>
        <v>0</v>
      </c>
      <c r="AJ12" s="64">
        <f t="shared" si="19"/>
        <v>1.5</v>
      </c>
      <c r="AK12" s="80"/>
      <c r="AL12" s="66">
        <f t="shared" si="9"/>
        <v>1.5</v>
      </c>
      <c r="AM12" s="67">
        <v>11332.3</v>
      </c>
      <c r="AN12" s="65">
        <v>11790.6</v>
      </c>
      <c r="AO12" s="77">
        <f t="shared" si="10"/>
        <v>0.96113005275388863</v>
      </c>
      <c r="AP12" s="69">
        <f t="shared" si="20"/>
        <v>1</v>
      </c>
      <c r="AQ12" s="80"/>
      <c r="AR12" s="81">
        <f t="shared" si="21"/>
        <v>1</v>
      </c>
      <c r="AS12" s="67">
        <v>28325.599999999999</v>
      </c>
      <c r="AT12" s="65">
        <v>28550.7</v>
      </c>
      <c r="AU12" s="78">
        <f t="shared" si="22"/>
        <v>0.99211577999838874</v>
      </c>
      <c r="AV12" s="69">
        <f t="shared" si="23"/>
        <v>1</v>
      </c>
      <c r="AW12" s="80"/>
      <c r="AX12" s="81">
        <f t="shared" si="11"/>
        <v>1</v>
      </c>
      <c r="AY12" s="71">
        <f t="shared" si="24"/>
        <v>6.5</v>
      </c>
      <c r="AZ12" s="72">
        <f t="shared" si="12"/>
        <v>0.74901513766959027</v>
      </c>
      <c r="BA12" s="6">
        <f t="shared" si="25"/>
        <v>0</v>
      </c>
      <c r="BB12" s="73">
        <f t="shared" si="26"/>
        <v>0</v>
      </c>
      <c r="BC12" s="73">
        <f t="shared" si="27"/>
        <v>0</v>
      </c>
      <c r="BD12" s="73">
        <f t="shared" si="28"/>
        <v>1</v>
      </c>
      <c r="BE12" s="6">
        <f t="shared" si="29"/>
        <v>0</v>
      </c>
      <c r="BG12" s="72" t="e">
        <f>(#REF!+L12)/(J12-T12)</f>
        <v>#REF!</v>
      </c>
      <c r="BH12" s="6" t="e">
        <f t="shared" si="30"/>
        <v>#REF!</v>
      </c>
      <c r="BI12" s="73" t="e">
        <f t="shared" si="31"/>
        <v>#REF!</v>
      </c>
      <c r="BJ12" s="73" t="e">
        <f t="shared" si="32"/>
        <v>#REF!</v>
      </c>
      <c r="BK12" s="73" t="e">
        <f t="shared" si="33"/>
        <v>#REF!</v>
      </c>
      <c r="BL12" s="6" t="e">
        <f t="shared" si="34"/>
        <v>#REF!</v>
      </c>
    </row>
    <row r="13" spans="1:67" x14ac:dyDescent="0.25">
      <c r="A13" s="74" t="s">
        <v>79</v>
      </c>
      <c r="B13" s="82">
        <v>19500</v>
      </c>
      <c r="C13" s="82">
        <v>4276.6050300000006</v>
      </c>
      <c r="D13" s="82">
        <v>19500</v>
      </c>
      <c r="E13" s="58">
        <f>IF(AND(B13=0,D13=0),0,B13/(IF(C13&gt;0,C13,0)+D13))</f>
        <v>0.82013390790636354</v>
      </c>
      <c r="F13" s="52">
        <f>IF(E13&lt;=1.05,1,0)</f>
        <v>1</v>
      </c>
      <c r="G13" s="53"/>
      <c r="H13" s="54">
        <f>F13+G13</f>
        <v>1</v>
      </c>
      <c r="I13" s="50">
        <v>19500</v>
      </c>
      <c r="J13" s="83">
        <v>289309.14361999999</v>
      </c>
      <c r="K13" s="56">
        <v>200655.09062</v>
      </c>
      <c r="L13" s="82">
        <v>39515.648959999999</v>
      </c>
      <c r="M13" s="82">
        <v>0</v>
      </c>
      <c r="N13" s="58">
        <f>(I13-M13)/(J13-K13-L13)</f>
        <v>0.39683828526719089</v>
      </c>
      <c r="O13" s="52">
        <f>IF(N13&lt;=1,1,0)</f>
        <v>1</v>
      </c>
      <c r="P13" s="53"/>
      <c r="Q13" s="54">
        <f>O13+P13</f>
        <v>1</v>
      </c>
      <c r="R13" s="84">
        <v>1279.3989999999999</v>
      </c>
      <c r="S13" s="82">
        <v>293585.74864999996</v>
      </c>
      <c r="T13" s="56">
        <v>100045.43387000001</v>
      </c>
      <c r="U13" s="51">
        <f>R13/(S13-T13)</f>
        <v>6.61050387075329E-3</v>
      </c>
      <c r="V13" s="52">
        <f>IF(U13&lt;=0.15,1,0)</f>
        <v>1</v>
      </c>
      <c r="W13" s="53"/>
      <c r="X13" s="54">
        <f>V13+W13</f>
        <v>1</v>
      </c>
      <c r="Y13" s="82">
        <f>C13</f>
        <v>4276.6050300000006</v>
      </c>
      <c r="Z13" s="62"/>
      <c r="AA13" s="62">
        <v>4276605.03</v>
      </c>
      <c r="AB13" s="62"/>
      <c r="AC13" s="62">
        <f t="shared" si="5"/>
        <v>289309.14361999999</v>
      </c>
      <c r="AD13" s="62">
        <f t="shared" si="5"/>
        <v>200655.09062</v>
      </c>
      <c r="AE13" s="62">
        <f t="shared" si="5"/>
        <v>39515.648959999999</v>
      </c>
      <c r="AF13" s="62">
        <f>AC13-AD13-AE13</f>
        <v>49138.404039999987</v>
      </c>
      <c r="AG13" s="62">
        <f>AF13*10%</f>
        <v>4913.8404039999987</v>
      </c>
      <c r="AH13" s="62">
        <f>IF(AA13&gt;0,AA13,0)+AG13+IF(AB13&gt;0,AB13,0)</f>
        <v>4281518.8704040004</v>
      </c>
      <c r="AI13" s="85">
        <f>IF((Y13-IF(Z13&gt;0,Z13,0)-IF(AA13&gt;0,AA13,0)-IF(AB13&gt;0,AB13,0))/(AC13-AD13-AE13)&gt;0,(Y13-IF(Z13&gt;0,Z13,0)-IF(AA13&gt;0,AA13,0)-IF(AB13&gt;0,AB13,0))/(AC13-AD13-AE13),0)</f>
        <v>0</v>
      </c>
      <c r="AJ13" s="64">
        <f>IF(AI13&lt;=0.1,1.5,0)</f>
        <v>1.5</v>
      </c>
      <c r="AK13" s="53"/>
      <c r="AL13" s="54">
        <f>AJ13+AK13</f>
        <v>1.5</v>
      </c>
      <c r="AM13" s="86">
        <v>10639.4</v>
      </c>
      <c r="AN13" s="53">
        <v>11790.6</v>
      </c>
      <c r="AO13" s="68">
        <f>AM13/AN13</f>
        <v>0.90236289925873148</v>
      </c>
      <c r="AP13" s="69">
        <f>IF(AO13&lt;=1,1,0)</f>
        <v>1</v>
      </c>
      <c r="AQ13" s="53"/>
      <c r="AR13" s="70">
        <f>AP13+AQ13</f>
        <v>1</v>
      </c>
      <c r="AS13" s="86">
        <v>25655.200000000001</v>
      </c>
      <c r="AT13" s="53">
        <v>28550.7</v>
      </c>
      <c r="AU13" s="63">
        <f>AS13/AT13</f>
        <v>0.89858392263587228</v>
      </c>
      <c r="AV13" s="69">
        <f>IF(AU13&lt;=1,1,0)</f>
        <v>1</v>
      </c>
      <c r="AW13" s="53"/>
      <c r="AX13" s="70">
        <f>AV13+AW13</f>
        <v>1</v>
      </c>
      <c r="AY13" s="71">
        <f t="shared" si="24"/>
        <v>6.5</v>
      </c>
      <c r="AZ13" s="72">
        <f t="shared" si="12"/>
        <v>0.74037070231315172</v>
      </c>
      <c r="BA13" s="6">
        <f>IF(($AZ13&lt;=10%),1,0)</f>
        <v>0</v>
      </c>
      <c r="BB13" s="73">
        <f>IF(AND(AZ13&gt;10%,AZ13&lt;30%),1,0)</f>
        <v>0</v>
      </c>
      <c r="BC13" s="73">
        <f>IF(AND(AZ13&gt;30%,AZ13&lt;70%),1,0)</f>
        <v>0</v>
      </c>
      <c r="BD13" s="73">
        <f>IF(AND(AZ13&gt;70%,AZ13&lt;90%),1,0)</f>
        <v>1</v>
      </c>
      <c r="BE13" s="6">
        <f>IF(($AZ13&gt;=90%),1,0)</f>
        <v>0</v>
      </c>
      <c r="BG13" s="72" t="e">
        <f>(#REF!+L13)/(J13-T13)</f>
        <v>#REF!</v>
      </c>
      <c r="BH13" s="6" t="e">
        <f>IF(($BG13&lt;=4.9%),1,0)</f>
        <v>#REF!</v>
      </c>
      <c r="BI13" s="73" t="e">
        <f>IF(AND(BG13&gt;5%,BG13&lt;19.9%),1,0)</f>
        <v>#REF!</v>
      </c>
      <c r="BJ13" s="73" t="e">
        <f>IF(AND(BG13&gt;20%,BG13&lt;49.9%),1,0)</f>
        <v>#REF!</v>
      </c>
      <c r="BK13" s="73" t="e">
        <f>IF(AND(BG13&gt;50%,BG13&lt;89.9%),1,0)</f>
        <v>#REF!</v>
      </c>
      <c r="BL13" s="6" t="e">
        <f>IF((BG13&gt;=90%),1,0)</f>
        <v>#REF!</v>
      </c>
    </row>
    <row r="14" spans="1:67" s="8" customFormat="1" x14ac:dyDescent="0.25">
      <c r="A14" s="87" t="s">
        <v>80</v>
      </c>
      <c r="B14" s="88">
        <v>0</v>
      </c>
      <c r="C14" s="88">
        <v>6554.6447500000004</v>
      </c>
      <c r="D14" s="88">
        <v>0</v>
      </c>
      <c r="E14" s="89">
        <f t="shared" si="13"/>
        <v>0</v>
      </c>
      <c r="F14" s="90"/>
      <c r="G14" s="91">
        <f>IF(E14&lt;=1.05,1,0)</f>
        <v>1</v>
      </c>
      <c r="H14" s="92">
        <f t="shared" si="0"/>
        <v>1</v>
      </c>
      <c r="I14" s="88">
        <v>0</v>
      </c>
      <c r="J14" s="93">
        <v>473609.98657999997</v>
      </c>
      <c r="K14" s="94">
        <v>360419.64107999997</v>
      </c>
      <c r="L14" s="88">
        <v>70260.838256842108</v>
      </c>
      <c r="M14" s="88">
        <v>0</v>
      </c>
      <c r="N14" s="89">
        <f t="shared" si="15"/>
        <v>0</v>
      </c>
      <c r="O14" s="90"/>
      <c r="P14" s="91">
        <f>IF(N14&lt;=0.5,1,0)</f>
        <v>1</v>
      </c>
      <c r="Q14" s="92">
        <f t="shared" si="2"/>
        <v>1</v>
      </c>
      <c r="R14" s="95">
        <v>0</v>
      </c>
      <c r="S14" s="88">
        <v>480164.63133</v>
      </c>
      <c r="T14" s="94">
        <v>146521.42121</v>
      </c>
      <c r="U14" s="89">
        <f t="shared" si="3"/>
        <v>0</v>
      </c>
      <c r="V14" s="90"/>
      <c r="W14" s="91">
        <f>IF(U14&lt;=0.15,1,0)</f>
        <v>1</v>
      </c>
      <c r="X14" s="92">
        <f t="shared" si="16"/>
        <v>1</v>
      </c>
      <c r="Y14" s="88">
        <f t="shared" si="17"/>
        <v>6554.6447500000004</v>
      </c>
      <c r="Z14" s="96"/>
      <c r="AA14" s="96">
        <v>6554644.75</v>
      </c>
      <c r="AB14" s="96"/>
      <c r="AC14" s="96">
        <f t="shared" si="5"/>
        <v>473609.98657999997</v>
      </c>
      <c r="AD14" s="96">
        <f t="shared" si="5"/>
        <v>360419.64107999997</v>
      </c>
      <c r="AE14" s="96">
        <f t="shared" si="5"/>
        <v>70260.838256842108</v>
      </c>
      <c r="AF14" s="96">
        <f t="shared" si="18"/>
        <v>42929.507243157888</v>
      </c>
      <c r="AG14" s="96">
        <f>AF14*5%</f>
        <v>2146.4753621578943</v>
      </c>
      <c r="AH14" s="96">
        <f t="shared" si="7"/>
        <v>6556791.2253621574</v>
      </c>
      <c r="AI14" s="97">
        <f t="shared" si="8"/>
        <v>0</v>
      </c>
      <c r="AJ14" s="98"/>
      <c r="AK14" s="99">
        <f>IF(AI14&lt;=0.05,1.5,0)</f>
        <v>1.5</v>
      </c>
      <c r="AL14" s="92">
        <f t="shared" si="9"/>
        <v>1.5</v>
      </c>
      <c r="AM14" s="100">
        <v>12444.1</v>
      </c>
      <c r="AN14" s="91">
        <v>15096.2</v>
      </c>
      <c r="AO14" s="101">
        <f t="shared" si="10"/>
        <v>0.82432002755660361</v>
      </c>
      <c r="AP14" s="98"/>
      <c r="AQ14" s="99">
        <f>IF(AO14&lt;=1,1,0)</f>
        <v>1</v>
      </c>
      <c r="AR14" s="102">
        <f t="shared" si="21"/>
        <v>1</v>
      </c>
      <c r="AS14" s="100">
        <v>33993.1</v>
      </c>
      <c r="AT14" s="91">
        <v>37466.9</v>
      </c>
      <c r="AU14" s="97">
        <f t="shared" si="22"/>
        <v>0.90728349556541898</v>
      </c>
      <c r="AV14" s="98"/>
      <c r="AW14" s="99">
        <f>IF(AU14&lt;=1,1,0)</f>
        <v>1</v>
      </c>
      <c r="AX14" s="102">
        <f t="shared" si="11"/>
        <v>1</v>
      </c>
      <c r="AY14" s="103">
        <f t="shared" si="24"/>
        <v>6.5</v>
      </c>
      <c r="AZ14" s="72">
        <f t="shared" si="12"/>
        <v>0.86875265054100448</v>
      </c>
      <c r="BA14" s="6">
        <f t="shared" si="25"/>
        <v>0</v>
      </c>
      <c r="BB14" s="73">
        <f t="shared" si="26"/>
        <v>0</v>
      </c>
      <c r="BC14" s="73">
        <f t="shared" si="27"/>
        <v>0</v>
      </c>
      <c r="BD14" s="73">
        <f t="shared" si="28"/>
        <v>1</v>
      </c>
      <c r="BE14" s="6">
        <f t="shared" si="29"/>
        <v>0</v>
      </c>
      <c r="BG14" s="72" t="e">
        <f>(#REF!+L14)/(J14-T14)</f>
        <v>#REF!</v>
      </c>
      <c r="BH14" s="6" t="e">
        <f t="shared" si="30"/>
        <v>#REF!</v>
      </c>
      <c r="BI14" s="73" t="e">
        <f t="shared" si="31"/>
        <v>#REF!</v>
      </c>
      <c r="BJ14" s="73" t="e">
        <f t="shared" si="32"/>
        <v>#REF!</v>
      </c>
      <c r="BK14" s="73" t="e">
        <f t="shared" si="33"/>
        <v>#REF!</v>
      </c>
      <c r="BL14" s="6" t="e">
        <f t="shared" si="34"/>
        <v>#REF!</v>
      </c>
    </row>
    <row r="15" spans="1:67" s="8" customFormat="1" x14ac:dyDescent="0.25">
      <c r="A15" s="79" t="s">
        <v>81</v>
      </c>
      <c r="B15" s="50">
        <v>55000</v>
      </c>
      <c r="C15" s="50">
        <v>55575.328990000002</v>
      </c>
      <c r="D15" s="50">
        <v>58000</v>
      </c>
      <c r="E15" s="58">
        <f t="shared" si="13"/>
        <v>0.48426009846594936</v>
      </c>
      <c r="F15" s="52">
        <f t="shared" si="14"/>
        <v>1</v>
      </c>
      <c r="G15" s="65"/>
      <c r="H15" s="66">
        <f t="shared" si="0"/>
        <v>1</v>
      </c>
      <c r="I15" s="50">
        <v>55000</v>
      </c>
      <c r="J15" s="55">
        <v>1453409.80727</v>
      </c>
      <c r="K15" s="56">
        <v>1052208.7072699999</v>
      </c>
      <c r="L15" s="50">
        <v>225663.74103121954</v>
      </c>
      <c r="M15" s="50">
        <v>0</v>
      </c>
      <c r="N15" s="58">
        <f t="shared" si="15"/>
        <v>0.31332361568560335</v>
      </c>
      <c r="O15" s="52">
        <f t="shared" si="1"/>
        <v>1</v>
      </c>
      <c r="P15" s="65"/>
      <c r="Q15" s="66">
        <f t="shared" si="2"/>
        <v>1</v>
      </c>
      <c r="R15" s="76">
        <v>4194.3886500000008</v>
      </c>
      <c r="S15" s="50">
        <v>1682564.3986199999</v>
      </c>
      <c r="T15" s="56">
        <v>647366.43904999993</v>
      </c>
      <c r="U15" s="58">
        <f t="shared" si="3"/>
        <v>4.051774456493581E-3</v>
      </c>
      <c r="V15" s="52">
        <f t="shared" si="4"/>
        <v>1</v>
      </c>
      <c r="W15" s="65"/>
      <c r="X15" s="66">
        <f t="shared" si="16"/>
        <v>1</v>
      </c>
      <c r="Y15" s="50">
        <f t="shared" si="17"/>
        <v>55575.328990000002</v>
      </c>
      <c r="Z15" s="61"/>
      <c r="AA15" s="61">
        <v>58575328.990000002</v>
      </c>
      <c r="AB15" s="61"/>
      <c r="AC15" s="61">
        <f t="shared" si="5"/>
        <v>1453409.80727</v>
      </c>
      <c r="AD15" s="61">
        <f t="shared" si="5"/>
        <v>1052208.7072699999</v>
      </c>
      <c r="AE15" s="61">
        <f t="shared" si="5"/>
        <v>225663.74103121954</v>
      </c>
      <c r="AF15" s="61">
        <f t="shared" si="18"/>
        <v>175537.35896878055</v>
      </c>
      <c r="AG15" s="62">
        <f t="shared" si="6"/>
        <v>17553.735896878057</v>
      </c>
      <c r="AH15" s="61">
        <f>IF(AA15&gt;0,AA15,0)+AG15+IF(AB15&gt;0,AB15,0)</f>
        <v>58592882.72589688</v>
      </c>
      <c r="AI15" s="78">
        <f t="shared" si="8"/>
        <v>0</v>
      </c>
      <c r="AJ15" s="64">
        <f t="shared" si="19"/>
        <v>1.5</v>
      </c>
      <c r="AK15" s="65"/>
      <c r="AL15" s="66">
        <f t="shared" si="9"/>
        <v>1.5</v>
      </c>
      <c r="AM15" s="67">
        <v>33747.599999999999</v>
      </c>
      <c r="AN15" s="65">
        <v>35888.9</v>
      </c>
      <c r="AO15" s="77">
        <f t="shared" si="10"/>
        <v>0.94033531258968639</v>
      </c>
      <c r="AP15" s="69">
        <f t="shared" si="20"/>
        <v>1</v>
      </c>
      <c r="AQ15" s="65"/>
      <c r="AR15" s="81">
        <f t="shared" si="21"/>
        <v>1</v>
      </c>
      <c r="AS15" s="67">
        <v>85863.6</v>
      </c>
      <c r="AT15" s="65">
        <v>89322.7</v>
      </c>
      <c r="AU15" s="78">
        <f t="shared" si="22"/>
        <v>0.96127412180778249</v>
      </c>
      <c r="AV15" s="69">
        <f t="shared" si="23"/>
        <v>1</v>
      </c>
      <c r="AW15" s="65"/>
      <c r="AX15" s="81">
        <f t="shared" si="11"/>
        <v>1</v>
      </c>
      <c r="AY15" s="71">
        <f t="shared" si="24"/>
        <v>6.5</v>
      </c>
      <c r="AZ15" s="72">
        <f t="shared" si="12"/>
        <v>0.78222343128208738</v>
      </c>
      <c r="BA15" s="6">
        <f t="shared" si="25"/>
        <v>0</v>
      </c>
      <c r="BB15" s="73">
        <f t="shared" si="26"/>
        <v>0</v>
      </c>
      <c r="BC15" s="73">
        <f t="shared" si="27"/>
        <v>0</v>
      </c>
      <c r="BD15" s="73">
        <f t="shared" si="28"/>
        <v>1</v>
      </c>
      <c r="BE15" s="6">
        <f t="shared" si="29"/>
        <v>0</v>
      </c>
      <c r="BG15" s="72" t="e">
        <f>(#REF!+L15)/(J15-T15)</f>
        <v>#REF!</v>
      </c>
      <c r="BH15" s="6" t="e">
        <f t="shared" si="30"/>
        <v>#REF!</v>
      </c>
      <c r="BI15" s="73" t="e">
        <f t="shared" si="31"/>
        <v>#REF!</v>
      </c>
      <c r="BJ15" s="73" t="e">
        <f t="shared" si="32"/>
        <v>#REF!</v>
      </c>
      <c r="BK15" s="73" t="e">
        <f t="shared" si="33"/>
        <v>#REF!</v>
      </c>
      <c r="BL15" s="6" t="e">
        <f t="shared" si="34"/>
        <v>#REF!</v>
      </c>
    </row>
    <row r="16" spans="1:67" s="8" customFormat="1" x14ac:dyDescent="0.25">
      <c r="A16" s="79" t="s">
        <v>82</v>
      </c>
      <c r="B16" s="50">
        <v>0</v>
      </c>
      <c r="C16" s="50">
        <v>21089.684510000003</v>
      </c>
      <c r="D16" s="50">
        <v>0</v>
      </c>
      <c r="E16" s="58">
        <f t="shared" si="13"/>
        <v>0</v>
      </c>
      <c r="F16" s="52">
        <f t="shared" si="14"/>
        <v>1</v>
      </c>
      <c r="G16" s="65"/>
      <c r="H16" s="66">
        <f t="shared" si="0"/>
        <v>1</v>
      </c>
      <c r="I16" s="50">
        <v>0</v>
      </c>
      <c r="J16" s="55">
        <v>556325.25525000005</v>
      </c>
      <c r="K16" s="56">
        <v>422187.25524999999</v>
      </c>
      <c r="L16" s="50">
        <v>45181.382640000003</v>
      </c>
      <c r="M16" s="50">
        <v>0</v>
      </c>
      <c r="N16" s="58">
        <f t="shared" si="15"/>
        <v>0</v>
      </c>
      <c r="O16" s="52">
        <f>IF(N16&lt;=1,1,0)</f>
        <v>1</v>
      </c>
      <c r="P16" s="65"/>
      <c r="Q16" s="66">
        <f>O16+P16</f>
        <v>1</v>
      </c>
      <c r="R16" s="76">
        <v>0</v>
      </c>
      <c r="S16" s="50">
        <v>577689.66576</v>
      </c>
      <c r="T16" s="56">
        <v>170256.54446</v>
      </c>
      <c r="U16" s="58">
        <f t="shared" si="3"/>
        <v>0</v>
      </c>
      <c r="V16" s="52">
        <f>IF(U16&lt;=0.15,1,0)</f>
        <v>1</v>
      </c>
      <c r="W16" s="65"/>
      <c r="X16" s="66">
        <f t="shared" si="16"/>
        <v>1</v>
      </c>
      <c r="Y16" s="50">
        <f t="shared" si="17"/>
        <v>21089.684510000003</v>
      </c>
      <c r="Z16" s="61"/>
      <c r="AA16" s="61">
        <v>21089684.510000002</v>
      </c>
      <c r="AB16" s="61"/>
      <c r="AC16" s="61">
        <f t="shared" si="5"/>
        <v>556325.25525000005</v>
      </c>
      <c r="AD16" s="61">
        <f t="shared" si="5"/>
        <v>422187.25524999999</v>
      </c>
      <c r="AE16" s="61">
        <f t="shared" si="5"/>
        <v>45181.382640000003</v>
      </c>
      <c r="AF16" s="61">
        <f t="shared" si="18"/>
        <v>88956.617360000062</v>
      </c>
      <c r="AG16" s="62">
        <f t="shared" si="6"/>
        <v>8895.6617360000073</v>
      </c>
      <c r="AH16" s="61">
        <f t="shared" ref="AH16:AH39" si="35">IF(AA16&gt;0,AA16,0)+AG16+IF(AB16&gt;0,AB16,0)</f>
        <v>21098580.171736002</v>
      </c>
      <c r="AI16" s="78">
        <f t="shared" si="8"/>
        <v>0</v>
      </c>
      <c r="AJ16" s="64">
        <f t="shared" si="19"/>
        <v>1.5</v>
      </c>
      <c r="AK16" s="65"/>
      <c r="AL16" s="66">
        <f t="shared" si="9"/>
        <v>1.5</v>
      </c>
      <c r="AM16" s="67">
        <v>15027.1</v>
      </c>
      <c r="AN16" s="65">
        <v>15471.3</v>
      </c>
      <c r="AO16" s="77">
        <f t="shared" si="10"/>
        <v>0.97128877340624264</v>
      </c>
      <c r="AP16" s="69">
        <f t="shared" si="20"/>
        <v>1</v>
      </c>
      <c r="AQ16" s="65"/>
      <c r="AR16" s="81">
        <f>AP16+AQ16</f>
        <v>1</v>
      </c>
      <c r="AS16" s="67">
        <v>33143.800000000003</v>
      </c>
      <c r="AT16" s="65">
        <v>35498.1</v>
      </c>
      <c r="AU16" s="78">
        <f t="shared" si="22"/>
        <v>0.93367814052019693</v>
      </c>
      <c r="AV16" s="69">
        <f t="shared" si="23"/>
        <v>1</v>
      </c>
      <c r="AW16" s="65"/>
      <c r="AX16" s="81">
        <f t="shared" si="11"/>
        <v>1</v>
      </c>
      <c r="AY16" s="71">
        <f t="shared" si="24"/>
        <v>6.5</v>
      </c>
      <c r="AZ16" s="72">
        <f t="shared" si="12"/>
        <v>0.76958345788248173</v>
      </c>
      <c r="BA16" s="6">
        <f t="shared" si="25"/>
        <v>0</v>
      </c>
      <c r="BB16" s="73">
        <f t="shared" si="26"/>
        <v>0</v>
      </c>
      <c r="BC16" s="73">
        <f t="shared" si="27"/>
        <v>0</v>
      </c>
      <c r="BD16" s="73">
        <f t="shared" si="28"/>
        <v>1</v>
      </c>
      <c r="BE16" s="6">
        <f t="shared" si="29"/>
        <v>0</v>
      </c>
      <c r="BG16" s="72" t="e">
        <f>(#REF!+L16)/(J16-T16)</f>
        <v>#REF!</v>
      </c>
      <c r="BH16" s="6" t="e">
        <f t="shared" si="30"/>
        <v>#REF!</v>
      </c>
      <c r="BI16" s="73" t="e">
        <f t="shared" si="31"/>
        <v>#REF!</v>
      </c>
      <c r="BJ16" s="73" t="e">
        <f t="shared" si="32"/>
        <v>#REF!</v>
      </c>
      <c r="BK16" s="73" t="e">
        <f t="shared" si="33"/>
        <v>#REF!</v>
      </c>
      <c r="BL16" s="6" t="e">
        <f t="shared" si="34"/>
        <v>#REF!</v>
      </c>
    </row>
    <row r="17" spans="1:64" s="8" customFormat="1" x14ac:dyDescent="0.25">
      <c r="A17" s="87" t="s">
        <v>83</v>
      </c>
      <c r="B17" s="88">
        <v>0</v>
      </c>
      <c r="C17" s="88">
        <v>4741.7364600000001</v>
      </c>
      <c r="D17" s="88">
        <v>0</v>
      </c>
      <c r="E17" s="89">
        <f t="shared" si="13"/>
        <v>0</v>
      </c>
      <c r="F17" s="90"/>
      <c r="G17" s="91">
        <f t="shared" ref="G17:G38" si="36">IF(E17&lt;=1.05,1,0)</f>
        <v>1</v>
      </c>
      <c r="H17" s="92">
        <f t="shared" si="0"/>
        <v>1</v>
      </c>
      <c r="I17" s="88">
        <v>0</v>
      </c>
      <c r="J17" s="93">
        <v>257816.81486000001</v>
      </c>
      <c r="K17" s="94">
        <v>224204.65486000001</v>
      </c>
      <c r="L17" s="88">
        <v>19894.583459999998</v>
      </c>
      <c r="M17" s="88">
        <v>0</v>
      </c>
      <c r="N17" s="89">
        <f t="shared" si="15"/>
        <v>0</v>
      </c>
      <c r="O17" s="90"/>
      <c r="P17" s="91">
        <f t="shared" ref="P17:P38" si="37">IF(N17&lt;=0.5,1,0)</f>
        <v>1</v>
      </c>
      <c r="Q17" s="92">
        <f>O17+P17</f>
        <v>1</v>
      </c>
      <c r="R17" s="104">
        <v>0</v>
      </c>
      <c r="S17" s="88">
        <v>262558.55131999997</v>
      </c>
      <c r="T17" s="94">
        <v>103723.98133</v>
      </c>
      <c r="U17" s="89">
        <f t="shared" si="3"/>
        <v>0</v>
      </c>
      <c r="V17" s="90"/>
      <c r="W17" s="91">
        <f t="shared" ref="W17:W38" si="38">IF(U17&lt;=0.15,1,0)</f>
        <v>1</v>
      </c>
      <c r="X17" s="92">
        <f t="shared" si="16"/>
        <v>1</v>
      </c>
      <c r="Y17" s="88">
        <f t="shared" si="17"/>
        <v>4741.7364600000001</v>
      </c>
      <c r="Z17" s="96"/>
      <c r="AA17" s="96">
        <v>4741736.46</v>
      </c>
      <c r="AB17" s="96"/>
      <c r="AC17" s="96">
        <f t="shared" si="5"/>
        <v>257816.81486000001</v>
      </c>
      <c r="AD17" s="96">
        <f t="shared" si="5"/>
        <v>224204.65486000001</v>
      </c>
      <c r="AE17" s="96">
        <f t="shared" si="5"/>
        <v>19894.583459999998</v>
      </c>
      <c r="AF17" s="96">
        <f t="shared" si="18"/>
        <v>13717.576540000005</v>
      </c>
      <c r="AG17" s="96">
        <f>AF17*10%</f>
        <v>1371.7576540000007</v>
      </c>
      <c r="AH17" s="96">
        <f t="shared" si="35"/>
        <v>4743108.217654</v>
      </c>
      <c r="AI17" s="97">
        <f t="shared" si="8"/>
        <v>0</v>
      </c>
      <c r="AJ17" s="98"/>
      <c r="AK17" s="99">
        <f t="shared" ref="AK17:AK33" si="39">IF(AI17&lt;=0.05,1.5,0)</f>
        <v>1.5</v>
      </c>
      <c r="AL17" s="92">
        <f t="shared" si="9"/>
        <v>1.5</v>
      </c>
      <c r="AM17" s="100">
        <v>10560.4</v>
      </c>
      <c r="AN17" s="91">
        <v>13486.8</v>
      </c>
      <c r="AO17" s="101">
        <f t="shared" si="10"/>
        <v>0.78301746893258595</v>
      </c>
      <c r="AP17" s="98"/>
      <c r="AQ17" s="99">
        <f t="shared" ref="AQ17:AQ33" si="40">IF(AO17&lt;=1,1,0)</f>
        <v>1</v>
      </c>
      <c r="AR17" s="102">
        <f>AP17+AQ17</f>
        <v>1</v>
      </c>
      <c r="AS17" s="100">
        <v>25062.3</v>
      </c>
      <c r="AT17" s="91">
        <v>33826.9</v>
      </c>
      <c r="AU17" s="97">
        <f t="shared" si="22"/>
        <v>0.74089851567835063</v>
      </c>
      <c r="AV17" s="98"/>
      <c r="AW17" s="99">
        <f t="shared" ref="AW17:AW33" si="41">IF(AU17&lt;=1,1,0)</f>
        <v>1</v>
      </c>
      <c r="AX17" s="102">
        <f t="shared" si="11"/>
        <v>1</v>
      </c>
      <c r="AY17" s="103">
        <f t="shared" si="24"/>
        <v>6.5</v>
      </c>
      <c r="AZ17" s="105">
        <f t="shared" si="12"/>
        <v>0.9109784911747415</v>
      </c>
      <c r="BA17" s="8">
        <f t="shared" si="25"/>
        <v>0</v>
      </c>
      <c r="BB17" s="106">
        <f t="shared" si="26"/>
        <v>0</v>
      </c>
      <c r="BC17" s="106">
        <f t="shared" si="27"/>
        <v>0</v>
      </c>
      <c r="BD17" s="106">
        <f t="shared" si="28"/>
        <v>0</v>
      </c>
      <c r="BE17" s="8">
        <f t="shared" si="29"/>
        <v>1</v>
      </c>
      <c r="BG17" s="105" t="e">
        <f>(#REF!+L17)/(J17-T17)</f>
        <v>#REF!</v>
      </c>
      <c r="BH17" s="8" t="e">
        <f t="shared" si="30"/>
        <v>#REF!</v>
      </c>
      <c r="BI17" s="106" t="e">
        <f t="shared" si="31"/>
        <v>#REF!</v>
      </c>
      <c r="BJ17" s="106" t="e">
        <f t="shared" si="32"/>
        <v>#REF!</v>
      </c>
      <c r="BK17" s="106" t="e">
        <f t="shared" si="33"/>
        <v>#REF!</v>
      </c>
      <c r="BL17" s="8" t="e">
        <f t="shared" si="34"/>
        <v>#REF!</v>
      </c>
    </row>
    <row r="18" spans="1:64" s="8" customFormat="1" x14ac:dyDescent="0.25">
      <c r="A18" s="87" t="s">
        <v>84</v>
      </c>
      <c r="B18" s="88">
        <v>0</v>
      </c>
      <c r="C18" s="88">
        <v>1175.93641</v>
      </c>
      <c r="D18" s="88">
        <v>0</v>
      </c>
      <c r="E18" s="89">
        <f t="shared" si="13"/>
        <v>0</v>
      </c>
      <c r="F18" s="90"/>
      <c r="G18" s="91">
        <f t="shared" si="36"/>
        <v>1</v>
      </c>
      <c r="H18" s="92">
        <f t="shared" si="0"/>
        <v>1</v>
      </c>
      <c r="I18" s="88">
        <v>0</v>
      </c>
      <c r="J18" s="93">
        <v>361632.53801999998</v>
      </c>
      <c r="K18" s="94">
        <v>261807.53802000001</v>
      </c>
      <c r="L18" s="88">
        <v>55976.622076565007</v>
      </c>
      <c r="M18" s="88">
        <v>0</v>
      </c>
      <c r="N18" s="89">
        <f t="shared" si="15"/>
        <v>0</v>
      </c>
      <c r="O18" s="90"/>
      <c r="P18" s="91">
        <f t="shared" si="37"/>
        <v>1</v>
      </c>
      <c r="Q18" s="92">
        <f t="shared" si="2"/>
        <v>1</v>
      </c>
      <c r="R18" s="104">
        <v>0</v>
      </c>
      <c r="S18" s="88">
        <v>375515.79418000003</v>
      </c>
      <c r="T18" s="94">
        <v>149974.70851</v>
      </c>
      <c r="U18" s="89">
        <f t="shared" si="3"/>
        <v>0</v>
      </c>
      <c r="V18" s="90"/>
      <c r="W18" s="91">
        <f t="shared" si="38"/>
        <v>1</v>
      </c>
      <c r="X18" s="92">
        <f t="shared" si="16"/>
        <v>1</v>
      </c>
      <c r="Y18" s="88">
        <f t="shared" si="17"/>
        <v>1175.93641</v>
      </c>
      <c r="Z18" s="96"/>
      <c r="AA18" s="96">
        <v>1175936.4099999999</v>
      </c>
      <c r="AB18" s="96"/>
      <c r="AC18" s="96">
        <f t="shared" si="5"/>
        <v>361632.53801999998</v>
      </c>
      <c r="AD18" s="96">
        <f t="shared" si="5"/>
        <v>261807.53802000001</v>
      </c>
      <c r="AE18" s="96">
        <f t="shared" si="5"/>
        <v>55976.622076565007</v>
      </c>
      <c r="AF18" s="96">
        <f t="shared" si="18"/>
        <v>43848.377923434964</v>
      </c>
      <c r="AG18" s="96">
        <f>AF18*10%</f>
        <v>4384.8377923434964</v>
      </c>
      <c r="AH18" s="96">
        <f t="shared" si="35"/>
        <v>1180321.2477923434</v>
      </c>
      <c r="AI18" s="97">
        <f t="shared" si="8"/>
        <v>0</v>
      </c>
      <c r="AJ18" s="98"/>
      <c r="AK18" s="99">
        <f t="shared" si="39"/>
        <v>1.5</v>
      </c>
      <c r="AL18" s="92">
        <f t="shared" si="9"/>
        <v>1.5</v>
      </c>
      <c r="AM18" s="100">
        <v>12638.2</v>
      </c>
      <c r="AN18" s="91">
        <v>15096.2</v>
      </c>
      <c r="AO18" s="101">
        <f t="shared" si="10"/>
        <v>0.83717756786476072</v>
      </c>
      <c r="AP18" s="98"/>
      <c r="AQ18" s="99">
        <f t="shared" si="40"/>
        <v>1</v>
      </c>
      <c r="AR18" s="102">
        <f t="shared" si="21"/>
        <v>1</v>
      </c>
      <c r="AS18" s="100">
        <v>35360.6</v>
      </c>
      <c r="AT18" s="91">
        <v>37466.9</v>
      </c>
      <c r="AU18" s="97">
        <f t="shared" si="22"/>
        <v>0.94378237857949276</v>
      </c>
      <c r="AV18" s="98"/>
      <c r="AW18" s="99">
        <f t="shared" si="41"/>
        <v>1</v>
      </c>
      <c r="AX18" s="102">
        <f t="shared" si="11"/>
        <v>1</v>
      </c>
      <c r="AY18" s="103">
        <f t="shared" si="24"/>
        <v>6.5</v>
      </c>
      <c r="AZ18" s="72">
        <f t="shared" si="12"/>
        <v>0.79283365975666265</v>
      </c>
      <c r="BA18" s="6">
        <f t="shared" si="25"/>
        <v>0</v>
      </c>
      <c r="BB18" s="73">
        <f t="shared" si="26"/>
        <v>0</v>
      </c>
      <c r="BC18" s="73">
        <f t="shared" si="27"/>
        <v>0</v>
      </c>
      <c r="BD18" s="73">
        <f t="shared" si="28"/>
        <v>1</v>
      </c>
      <c r="BE18" s="6">
        <f t="shared" si="29"/>
        <v>0</v>
      </c>
      <c r="BG18" s="72" t="e">
        <f>(#REF!+L18)/(J18-T18)</f>
        <v>#REF!</v>
      </c>
      <c r="BH18" s="6" t="e">
        <f t="shared" si="30"/>
        <v>#REF!</v>
      </c>
      <c r="BI18" s="73" t="e">
        <f t="shared" si="31"/>
        <v>#REF!</v>
      </c>
      <c r="BJ18" s="73" t="e">
        <f t="shared" si="32"/>
        <v>#REF!</v>
      </c>
      <c r="BK18" s="73" t="e">
        <f t="shared" si="33"/>
        <v>#REF!</v>
      </c>
      <c r="BL18" s="6" t="e">
        <f t="shared" si="34"/>
        <v>#REF!</v>
      </c>
    </row>
    <row r="19" spans="1:64" x14ac:dyDescent="0.25">
      <c r="A19" s="87" t="s">
        <v>85</v>
      </c>
      <c r="B19" s="88">
        <v>25000</v>
      </c>
      <c r="C19" s="88">
        <v>8315.2223300000005</v>
      </c>
      <c r="D19" s="88">
        <v>26000</v>
      </c>
      <c r="E19" s="89">
        <f>IF(AND(B19=0,D19=0),0,B19/(IF(C19&gt;0,C19,0)+D19))</f>
        <v>0.72853964807751825</v>
      </c>
      <c r="F19" s="90"/>
      <c r="G19" s="91">
        <f>IF(E19&lt;=1.05,1,0)</f>
        <v>1</v>
      </c>
      <c r="H19" s="92">
        <f>F19+G19</f>
        <v>1</v>
      </c>
      <c r="I19" s="88">
        <v>24000</v>
      </c>
      <c r="J19" s="93">
        <v>917120.96291999996</v>
      </c>
      <c r="K19" s="94">
        <v>660900.41291999992</v>
      </c>
      <c r="L19" s="88">
        <v>199467.64304</v>
      </c>
      <c r="M19" s="88">
        <v>0</v>
      </c>
      <c r="N19" s="89">
        <f>(I19-M19)/(J19-K19-L19)</f>
        <v>0.42288582709807998</v>
      </c>
      <c r="O19" s="90"/>
      <c r="P19" s="91">
        <f>IF(N19&lt;=0.5,1,0)</f>
        <v>1</v>
      </c>
      <c r="Q19" s="92">
        <f>O19+P19</f>
        <v>1</v>
      </c>
      <c r="R19" s="104">
        <v>1804.3050000000001</v>
      </c>
      <c r="S19" s="88">
        <v>925436.18524999998</v>
      </c>
      <c r="T19" s="94">
        <v>419355.81656000001</v>
      </c>
      <c r="U19" s="89">
        <f>R19/(S19-T19)</f>
        <v>3.5652538838257699E-3</v>
      </c>
      <c r="V19" s="90"/>
      <c r="W19" s="91">
        <f>IF(U19&lt;=0.15,1,0)</f>
        <v>1</v>
      </c>
      <c r="X19" s="92">
        <f>V19+W19</f>
        <v>1</v>
      </c>
      <c r="Y19" s="88">
        <f>C19</f>
        <v>8315.2223300000005</v>
      </c>
      <c r="Z19" s="96"/>
      <c r="AA19" s="96">
        <v>9315222.3300000001</v>
      </c>
      <c r="AB19" s="96"/>
      <c r="AC19" s="96">
        <f>J19</f>
        <v>917120.96291999996</v>
      </c>
      <c r="AD19" s="96">
        <f>K19</f>
        <v>660900.41291999992</v>
      </c>
      <c r="AE19" s="96">
        <f>L19</f>
        <v>199467.64304</v>
      </c>
      <c r="AF19" s="96">
        <f>AC19-AD19-AE19</f>
        <v>56752.906960000051</v>
      </c>
      <c r="AG19" s="96">
        <f>AF19*10%</f>
        <v>5675.2906960000055</v>
      </c>
      <c r="AH19" s="96">
        <f>IF(AA19&gt;0,AA19,0)+AG19+IF(AB19&gt;0,AB19,0)</f>
        <v>9320897.6206960008</v>
      </c>
      <c r="AI19" s="97">
        <f>IF((Y19-IF(Z19&gt;0,Z19,0)-IF(AA19&gt;0,AA19,0)-IF(AB19&gt;0,AB19,0))/(AC19-AD19-AE19)&gt;0,(Y19-IF(Z19&gt;0,Z19,0)-IF(AA19&gt;0,AA19,0)-IF(AB19&gt;0,AB19,0))/(AC19-AD19-AE19),0)</f>
        <v>0</v>
      </c>
      <c r="AJ19" s="98"/>
      <c r="AK19" s="99">
        <f>IF(AI19&lt;=0.05,1.5,0)</f>
        <v>1.5</v>
      </c>
      <c r="AL19" s="92">
        <f>AJ19+AK19</f>
        <v>1.5</v>
      </c>
      <c r="AM19" s="100">
        <v>33510</v>
      </c>
      <c r="AN19" s="91">
        <v>35888.9</v>
      </c>
      <c r="AO19" s="101">
        <f>AM19/AN19</f>
        <v>0.93371488120282309</v>
      </c>
      <c r="AP19" s="98"/>
      <c r="AQ19" s="99">
        <f>IF(AO19&lt;=1,1,0)</f>
        <v>1</v>
      </c>
      <c r="AR19" s="102">
        <f>AP19+AQ19</f>
        <v>1</v>
      </c>
      <c r="AS19" s="100">
        <v>75124.7</v>
      </c>
      <c r="AT19" s="91">
        <v>89322.7</v>
      </c>
      <c r="AU19" s="97">
        <f>AS19/AT19</f>
        <v>0.84104824417533286</v>
      </c>
      <c r="AV19" s="98"/>
      <c r="AW19" s="99">
        <f>IF(AU19&lt;=1,1,0)</f>
        <v>1</v>
      </c>
      <c r="AX19" s="102">
        <f>AV19+AW19</f>
        <v>1</v>
      </c>
      <c r="AY19" s="103">
        <f t="shared" si="24"/>
        <v>6.5</v>
      </c>
      <c r="AZ19" s="72">
        <f t="shared" si="12"/>
        <v>0.88598457048466284</v>
      </c>
      <c r="BA19" s="6">
        <f>IF(($AZ19&lt;=10%),1,0)</f>
        <v>0</v>
      </c>
      <c r="BB19" s="73">
        <f>IF(AND(AZ19&gt;10%,AZ19&lt;30%),1,0)</f>
        <v>0</v>
      </c>
      <c r="BC19" s="73">
        <f>IF(AND(AZ19&gt;30%,AZ19&lt;70%),1,0)</f>
        <v>0</v>
      </c>
      <c r="BD19" s="73">
        <f>IF(AND(AZ19&gt;70%,AZ19&lt;90%),1,0)</f>
        <v>1</v>
      </c>
      <c r="BE19" s="6">
        <f>IF(($AZ19&gt;=90%),1,0)</f>
        <v>0</v>
      </c>
      <c r="BG19" s="72" t="e">
        <f>(#REF!+L19)/(J19-T19)</f>
        <v>#REF!</v>
      </c>
      <c r="BH19" s="6" t="e">
        <f>IF(($BG19&lt;=4.9%),1,0)</f>
        <v>#REF!</v>
      </c>
      <c r="BI19" s="73" t="e">
        <f>IF(AND(BG19&gt;5%,BG19&lt;19.9%),1,0)</f>
        <v>#REF!</v>
      </c>
      <c r="BJ19" s="73" t="e">
        <f>IF(AND(BG19&gt;20%,BG19&lt;49.9%),1,0)</f>
        <v>#REF!</v>
      </c>
      <c r="BK19" s="73" t="e">
        <f>IF(AND(BG19&gt;50%,BG19&lt;89.9%),1,0)</f>
        <v>#REF!</v>
      </c>
      <c r="BL19" s="6" t="e">
        <f>IF((BG19&gt;=90%),1,0)</f>
        <v>#REF!</v>
      </c>
    </row>
    <row r="20" spans="1:64" s="8" customFormat="1" x14ac:dyDescent="0.25">
      <c r="A20" s="87" t="s">
        <v>86</v>
      </c>
      <c r="B20" s="88">
        <v>0</v>
      </c>
      <c r="C20" s="88">
        <v>3547.9958799999999</v>
      </c>
      <c r="D20" s="88">
        <v>0</v>
      </c>
      <c r="E20" s="89">
        <f t="shared" si="13"/>
        <v>0</v>
      </c>
      <c r="F20" s="90"/>
      <c r="G20" s="91">
        <f t="shared" si="36"/>
        <v>1</v>
      </c>
      <c r="H20" s="92">
        <f t="shared" si="0"/>
        <v>1</v>
      </c>
      <c r="I20" s="88">
        <v>0</v>
      </c>
      <c r="J20" s="93">
        <v>192948.43476</v>
      </c>
      <c r="K20" s="94">
        <v>139549.10575999998</v>
      </c>
      <c r="L20" s="88">
        <v>30433.862820000002</v>
      </c>
      <c r="M20" s="88">
        <v>0</v>
      </c>
      <c r="N20" s="89">
        <f t="shared" si="15"/>
        <v>0</v>
      </c>
      <c r="O20" s="90"/>
      <c r="P20" s="91">
        <f t="shared" si="37"/>
        <v>1</v>
      </c>
      <c r="Q20" s="92">
        <f t="shared" si="2"/>
        <v>1</v>
      </c>
      <c r="R20" s="104">
        <v>0</v>
      </c>
      <c r="S20" s="88">
        <v>196599.72263999999</v>
      </c>
      <c r="T20" s="94">
        <v>80285.874180000013</v>
      </c>
      <c r="U20" s="89">
        <f t="shared" si="3"/>
        <v>0</v>
      </c>
      <c r="V20" s="90"/>
      <c r="W20" s="91">
        <f t="shared" si="38"/>
        <v>1</v>
      </c>
      <c r="X20" s="92">
        <f t="shared" si="16"/>
        <v>1</v>
      </c>
      <c r="Y20" s="88">
        <f t="shared" si="17"/>
        <v>3547.9958799999999</v>
      </c>
      <c r="Z20" s="96"/>
      <c r="AA20" s="96">
        <v>3547995.88</v>
      </c>
      <c r="AB20" s="96"/>
      <c r="AC20" s="96">
        <f t="shared" si="5"/>
        <v>192948.43476</v>
      </c>
      <c r="AD20" s="96">
        <f t="shared" si="5"/>
        <v>139549.10575999998</v>
      </c>
      <c r="AE20" s="96">
        <f t="shared" si="5"/>
        <v>30433.862820000002</v>
      </c>
      <c r="AF20" s="96">
        <f t="shared" si="18"/>
        <v>22965.466180000025</v>
      </c>
      <c r="AG20" s="96">
        <f>AF20*5%</f>
        <v>1148.2733090000013</v>
      </c>
      <c r="AH20" s="96">
        <f t="shared" si="35"/>
        <v>3549144.1533089997</v>
      </c>
      <c r="AI20" s="97">
        <f t="shared" si="8"/>
        <v>0</v>
      </c>
      <c r="AJ20" s="90"/>
      <c r="AK20" s="99">
        <f t="shared" si="39"/>
        <v>1.5</v>
      </c>
      <c r="AL20" s="92">
        <f t="shared" si="9"/>
        <v>1.5</v>
      </c>
      <c r="AM20" s="100">
        <v>9749.2000000000007</v>
      </c>
      <c r="AN20" s="91">
        <v>12371.1</v>
      </c>
      <c r="AO20" s="101">
        <f t="shared" si="10"/>
        <v>0.78806250050520976</v>
      </c>
      <c r="AP20" s="90"/>
      <c r="AQ20" s="99">
        <f t="shared" si="40"/>
        <v>1</v>
      </c>
      <c r="AR20" s="102">
        <f t="shared" si="21"/>
        <v>1</v>
      </c>
      <c r="AS20" s="100">
        <v>25680.2</v>
      </c>
      <c r="AT20" s="91">
        <v>31333.4</v>
      </c>
      <c r="AU20" s="97">
        <f t="shared" si="22"/>
        <v>0.81957910727849514</v>
      </c>
      <c r="AV20" s="90"/>
      <c r="AW20" s="99">
        <f t="shared" si="41"/>
        <v>1</v>
      </c>
      <c r="AX20" s="102">
        <f t="shared" si="11"/>
        <v>1</v>
      </c>
      <c r="AY20" s="103">
        <f t="shared" si="24"/>
        <v>6.5</v>
      </c>
      <c r="AZ20" s="72">
        <f t="shared" si="12"/>
        <v>0.79615707239591282</v>
      </c>
      <c r="BA20" s="6">
        <f t="shared" si="25"/>
        <v>0</v>
      </c>
      <c r="BB20" s="73">
        <f t="shared" si="26"/>
        <v>0</v>
      </c>
      <c r="BC20" s="73">
        <f t="shared" si="27"/>
        <v>0</v>
      </c>
      <c r="BD20" s="73">
        <f t="shared" si="28"/>
        <v>1</v>
      </c>
      <c r="BE20" s="6">
        <f t="shared" si="29"/>
        <v>0</v>
      </c>
      <c r="BG20" s="72" t="e">
        <f>(#REF!+L20)/(J20-T20)</f>
        <v>#REF!</v>
      </c>
      <c r="BH20" s="6" t="e">
        <f t="shared" si="30"/>
        <v>#REF!</v>
      </c>
      <c r="BI20" s="73" t="e">
        <f t="shared" si="31"/>
        <v>#REF!</v>
      </c>
      <c r="BJ20" s="73" t="e">
        <f t="shared" si="32"/>
        <v>#REF!</v>
      </c>
      <c r="BK20" s="73" t="e">
        <f t="shared" si="33"/>
        <v>#REF!</v>
      </c>
      <c r="BL20" s="6" t="e">
        <f t="shared" si="34"/>
        <v>#REF!</v>
      </c>
    </row>
    <row r="21" spans="1:64" s="8" customFormat="1" x14ac:dyDescent="0.25">
      <c r="A21" s="79" t="s">
        <v>87</v>
      </c>
      <c r="B21" s="50">
        <v>0</v>
      </c>
      <c r="C21" s="50">
        <v>84842.282819999993</v>
      </c>
      <c r="D21" s="50">
        <v>0</v>
      </c>
      <c r="E21" s="58">
        <f>IF(AND(B21=0,D21=0),0,B21/(IF(C21&gt;0,C21,0)+D21))</f>
        <v>0</v>
      </c>
      <c r="F21" s="52">
        <f>IF(E21&lt;=1.05,1,0)</f>
        <v>1</v>
      </c>
      <c r="G21" s="65"/>
      <c r="H21" s="66">
        <f>F21+G21</f>
        <v>1</v>
      </c>
      <c r="I21" s="50">
        <v>0</v>
      </c>
      <c r="J21" s="55">
        <v>940833.57437000005</v>
      </c>
      <c r="K21" s="56">
        <v>705158.97436999995</v>
      </c>
      <c r="L21" s="50">
        <v>92764.142960000012</v>
      </c>
      <c r="M21" s="50">
        <v>0</v>
      </c>
      <c r="N21" s="58">
        <f>(I21-M21)/(J21-K21-L21)</f>
        <v>0</v>
      </c>
      <c r="O21" s="52">
        <f>IF(N21&lt;=1,1,0)</f>
        <v>1</v>
      </c>
      <c r="P21" s="65"/>
      <c r="Q21" s="66">
        <f>O21+P21</f>
        <v>1</v>
      </c>
      <c r="R21" s="76">
        <v>0</v>
      </c>
      <c r="S21" s="50">
        <v>1041104.41443</v>
      </c>
      <c r="T21" s="56">
        <v>247738.14224000002</v>
      </c>
      <c r="U21" s="58">
        <f>R21/(S21-T21)</f>
        <v>0</v>
      </c>
      <c r="V21" s="52">
        <f>IF(U21&lt;=0.15,1,0)</f>
        <v>1</v>
      </c>
      <c r="W21" s="65"/>
      <c r="X21" s="66">
        <f>V21+W21</f>
        <v>1</v>
      </c>
      <c r="Y21" s="50">
        <f>C21</f>
        <v>84842.282819999993</v>
      </c>
      <c r="Z21" s="61"/>
      <c r="AA21" s="61">
        <v>84842282.819999993</v>
      </c>
      <c r="AB21" s="61"/>
      <c r="AC21" s="61">
        <f>J21</f>
        <v>940833.57437000005</v>
      </c>
      <c r="AD21" s="61">
        <f>K21</f>
        <v>705158.97436999995</v>
      </c>
      <c r="AE21" s="61">
        <f>L21</f>
        <v>92764.142960000012</v>
      </c>
      <c r="AF21" s="61">
        <f>AC21-AD21-AE21</f>
        <v>142910.45704000007</v>
      </c>
      <c r="AG21" s="62">
        <f>AF21*10%</f>
        <v>14291.045704000007</v>
      </c>
      <c r="AH21" s="61">
        <f>IF(AA21&gt;0,AA21,0)+AG21+IF(AB21&gt;0,AB21,0)</f>
        <v>84856573.865704</v>
      </c>
      <c r="AI21" s="78">
        <f>IF((Y21-IF(Z21&gt;0,Z21,0)-IF(AA21&gt;0,AA21,0)-IF(AB21&gt;0,AB21,0))/(AC21-AD21-AE21)&gt;0,(Y21-IF(Z21&gt;0,Z21,0)-IF(AA21&gt;0,AA21,0)-IF(AB21&gt;0,AB21,0))/(AC21-AD21-AE21),0)</f>
        <v>0</v>
      </c>
      <c r="AJ21" s="64">
        <f>IF(AI21&lt;=0.1,1.5,0)</f>
        <v>1.5</v>
      </c>
      <c r="AK21" s="65"/>
      <c r="AL21" s="66">
        <f>AJ21+AK21</f>
        <v>1.5</v>
      </c>
      <c r="AM21" s="67">
        <v>24061</v>
      </c>
      <c r="AN21" s="65">
        <v>29838.799999999999</v>
      </c>
      <c r="AO21" s="77">
        <f>AM21/AN21</f>
        <v>0.80636620775634416</v>
      </c>
      <c r="AP21" s="69">
        <f>IF(AO21&lt;=1,1,0)</f>
        <v>1</v>
      </c>
      <c r="AQ21" s="65"/>
      <c r="AR21" s="81">
        <f>AP21+AQ21</f>
        <v>1</v>
      </c>
      <c r="AS21" s="67">
        <v>65121.5</v>
      </c>
      <c r="AT21" s="65">
        <v>68219.8</v>
      </c>
      <c r="AU21" s="78">
        <f>AS21/AT21</f>
        <v>0.95458356664780597</v>
      </c>
      <c r="AV21" s="69">
        <f>IF(AU21&lt;=1,1,0)</f>
        <v>1</v>
      </c>
      <c r="AW21" s="65"/>
      <c r="AX21" s="81">
        <f>AV21+AW21</f>
        <v>1</v>
      </c>
      <c r="AY21" s="71">
        <f t="shared" si="24"/>
        <v>6.5</v>
      </c>
      <c r="AZ21" s="72">
        <f t="shared" si="12"/>
        <v>0.79380839864892472</v>
      </c>
      <c r="BA21" s="6">
        <f t="shared" si="25"/>
        <v>0</v>
      </c>
      <c r="BB21" s="73">
        <f t="shared" si="26"/>
        <v>0</v>
      </c>
      <c r="BC21" s="73">
        <f t="shared" si="27"/>
        <v>0</v>
      </c>
      <c r="BD21" s="73">
        <f t="shared" si="28"/>
        <v>1</v>
      </c>
      <c r="BE21" s="6">
        <f t="shared" si="29"/>
        <v>0</v>
      </c>
      <c r="BG21" s="72" t="e">
        <f>(#REF!+L21)/(J21-T21)</f>
        <v>#REF!</v>
      </c>
      <c r="BH21" s="6" t="e">
        <f t="shared" si="30"/>
        <v>#REF!</v>
      </c>
      <c r="BI21" s="73" t="e">
        <f t="shared" si="31"/>
        <v>#REF!</v>
      </c>
      <c r="BJ21" s="73" t="e">
        <f t="shared" si="32"/>
        <v>#REF!</v>
      </c>
      <c r="BK21" s="73" t="e">
        <f t="shared" si="33"/>
        <v>#REF!</v>
      </c>
      <c r="BL21" s="6" t="e">
        <f t="shared" si="34"/>
        <v>#REF!</v>
      </c>
    </row>
    <row r="22" spans="1:64" s="8" customFormat="1" x14ac:dyDescent="0.25">
      <c r="A22" s="87" t="s">
        <v>88</v>
      </c>
      <c r="B22" s="88">
        <v>0</v>
      </c>
      <c r="C22" s="88">
        <v>8610.2968499999988</v>
      </c>
      <c r="D22" s="88">
        <v>0</v>
      </c>
      <c r="E22" s="89">
        <f t="shared" si="13"/>
        <v>0</v>
      </c>
      <c r="F22" s="90"/>
      <c r="G22" s="91">
        <f t="shared" si="36"/>
        <v>1</v>
      </c>
      <c r="H22" s="92">
        <f t="shared" si="0"/>
        <v>1</v>
      </c>
      <c r="I22" s="88">
        <v>0</v>
      </c>
      <c r="J22" s="93">
        <v>257420.60627000002</v>
      </c>
      <c r="K22" s="94">
        <v>198740.18888999999</v>
      </c>
      <c r="L22" s="88">
        <v>42257.125189999999</v>
      </c>
      <c r="M22" s="88">
        <v>0</v>
      </c>
      <c r="N22" s="89">
        <f t="shared" si="15"/>
        <v>0</v>
      </c>
      <c r="O22" s="90"/>
      <c r="P22" s="91">
        <f t="shared" si="37"/>
        <v>1</v>
      </c>
      <c r="Q22" s="92">
        <f t="shared" si="2"/>
        <v>1</v>
      </c>
      <c r="R22" s="104">
        <v>0</v>
      </c>
      <c r="S22" s="88">
        <v>266030.90312000003</v>
      </c>
      <c r="T22" s="94">
        <v>134568.45480000001</v>
      </c>
      <c r="U22" s="89">
        <f t="shared" si="3"/>
        <v>0</v>
      </c>
      <c r="V22" s="90"/>
      <c r="W22" s="91">
        <f t="shared" si="38"/>
        <v>1</v>
      </c>
      <c r="X22" s="92">
        <f t="shared" si="16"/>
        <v>1</v>
      </c>
      <c r="Y22" s="88">
        <f t="shared" si="17"/>
        <v>8610.2968499999988</v>
      </c>
      <c r="Z22" s="96"/>
      <c r="AA22" s="96">
        <v>8610296.8499999996</v>
      </c>
      <c r="AB22" s="96"/>
      <c r="AC22" s="96">
        <f t="shared" si="5"/>
        <v>257420.60627000002</v>
      </c>
      <c r="AD22" s="96">
        <f t="shared" si="5"/>
        <v>198740.18888999999</v>
      </c>
      <c r="AE22" s="96">
        <f t="shared" si="5"/>
        <v>42257.125189999999</v>
      </c>
      <c r="AF22" s="96">
        <f t="shared" si="18"/>
        <v>16423.292190000029</v>
      </c>
      <c r="AG22" s="96">
        <f>AF22*5%</f>
        <v>821.16460950000146</v>
      </c>
      <c r="AH22" s="96">
        <f t="shared" si="35"/>
        <v>8611118.0146094989</v>
      </c>
      <c r="AI22" s="97">
        <f t="shared" si="8"/>
        <v>0</v>
      </c>
      <c r="AJ22" s="90"/>
      <c r="AK22" s="99">
        <f t="shared" si="39"/>
        <v>1.5</v>
      </c>
      <c r="AL22" s="92">
        <f t="shared" si="9"/>
        <v>1.5</v>
      </c>
      <c r="AM22" s="100">
        <v>11382.9</v>
      </c>
      <c r="AN22" s="91">
        <v>13486.8</v>
      </c>
      <c r="AO22" s="101">
        <f t="shared" si="10"/>
        <v>0.84400302518017623</v>
      </c>
      <c r="AP22" s="90"/>
      <c r="AQ22" s="99">
        <f t="shared" si="40"/>
        <v>1</v>
      </c>
      <c r="AR22" s="102">
        <f t="shared" si="21"/>
        <v>1</v>
      </c>
      <c r="AS22" s="100">
        <v>32636.5</v>
      </c>
      <c r="AT22" s="91">
        <v>33826.9</v>
      </c>
      <c r="AU22" s="97">
        <f t="shared" si="22"/>
        <v>0.96480907206986155</v>
      </c>
      <c r="AV22" s="90"/>
      <c r="AW22" s="99">
        <f t="shared" si="41"/>
        <v>1</v>
      </c>
      <c r="AX22" s="102">
        <f t="shared" si="11"/>
        <v>1</v>
      </c>
      <c r="AY22" s="103">
        <f t="shared" si="24"/>
        <v>6.5</v>
      </c>
      <c r="AZ22" s="72">
        <f t="shared" si="12"/>
        <v>0.86631660908266195</v>
      </c>
      <c r="BA22" s="6">
        <f t="shared" si="25"/>
        <v>0</v>
      </c>
      <c r="BB22" s="73">
        <f t="shared" si="26"/>
        <v>0</v>
      </c>
      <c r="BC22" s="73">
        <f t="shared" si="27"/>
        <v>0</v>
      </c>
      <c r="BD22" s="73">
        <f t="shared" si="28"/>
        <v>1</v>
      </c>
      <c r="BE22" s="6">
        <f t="shared" si="29"/>
        <v>0</v>
      </c>
      <c r="BG22" s="72" t="e">
        <f>(#REF!+L22)/(J22-T22)</f>
        <v>#REF!</v>
      </c>
      <c r="BH22" s="6" t="e">
        <f t="shared" si="30"/>
        <v>#REF!</v>
      </c>
      <c r="BI22" s="73" t="e">
        <f t="shared" si="31"/>
        <v>#REF!</v>
      </c>
      <c r="BJ22" s="73" t="e">
        <f t="shared" si="32"/>
        <v>#REF!</v>
      </c>
      <c r="BK22" s="73" t="e">
        <f t="shared" si="33"/>
        <v>#REF!</v>
      </c>
      <c r="BL22" s="6" t="e">
        <f t="shared" si="34"/>
        <v>#REF!</v>
      </c>
    </row>
    <row r="23" spans="1:64" s="8" customFormat="1" x14ac:dyDescent="0.25">
      <c r="A23" s="87" t="s">
        <v>89</v>
      </c>
      <c r="B23" s="88">
        <v>0</v>
      </c>
      <c r="C23" s="88">
        <v>15290.491529999999</v>
      </c>
      <c r="D23" s="88">
        <v>0</v>
      </c>
      <c r="E23" s="89">
        <f t="shared" si="13"/>
        <v>0</v>
      </c>
      <c r="F23" s="90"/>
      <c r="G23" s="91">
        <f t="shared" si="36"/>
        <v>1</v>
      </c>
      <c r="H23" s="92">
        <f t="shared" si="0"/>
        <v>1</v>
      </c>
      <c r="I23" s="88">
        <v>0</v>
      </c>
      <c r="J23" s="93">
        <v>555997.52372000006</v>
      </c>
      <c r="K23" s="94">
        <v>376633.21372</v>
      </c>
      <c r="L23" s="88">
        <v>112482.50171113636</v>
      </c>
      <c r="M23" s="88">
        <v>0</v>
      </c>
      <c r="N23" s="89">
        <f t="shared" si="15"/>
        <v>0</v>
      </c>
      <c r="O23" s="90"/>
      <c r="P23" s="91">
        <f t="shared" si="37"/>
        <v>1</v>
      </c>
      <c r="Q23" s="92">
        <f t="shared" si="2"/>
        <v>1</v>
      </c>
      <c r="R23" s="104">
        <v>0</v>
      </c>
      <c r="S23" s="88">
        <v>571288.01525000005</v>
      </c>
      <c r="T23" s="94">
        <v>260334.26788</v>
      </c>
      <c r="U23" s="89">
        <f t="shared" si="3"/>
        <v>0</v>
      </c>
      <c r="V23" s="90"/>
      <c r="W23" s="91">
        <f t="shared" si="38"/>
        <v>1</v>
      </c>
      <c r="X23" s="92">
        <f t="shared" si="16"/>
        <v>1</v>
      </c>
      <c r="Y23" s="88">
        <f t="shared" si="17"/>
        <v>15290.491529999999</v>
      </c>
      <c r="Z23" s="96"/>
      <c r="AA23" s="96">
        <v>15290491.529999999</v>
      </c>
      <c r="AB23" s="96"/>
      <c r="AC23" s="96">
        <f t="shared" si="5"/>
        <v>555997.52372000006</v>
      </c>
      <c r="AD23" s="96">
        <f t="shared" si="5"/>
        <v>376633.21372</v>
      </c>
      <c r="AE23" s="96">
        <f t="shared" si="5"/>
        <v>112482.50171113636</v>
      </c>
      <c r="AF23" s="96">
        <f t="shared" si="18"/>
        <v>66881.8082888637</v>
      </c>
      <c r="AG23" s="96">
        <f>AF23*10%</f>
        <v>6688.1808288863704</v>
      </c>
      <c r="AH23" s="96">
        <f t="shared" si="35"/>
        <v>15297179.710828885</v>
      </c>
      <c r="AI23" s="97">
        <f t="shared" si="8"/>
        <v>0</v>
      </c>
      <c r="AJ23" s="98"/>
      <c r="AK23" s="99">
        <f t="shared" si="39"/>
        <v>1.5</v>
      </c>
      <c r="AL23" s="92">
        <f t="shared" si="9"/>
        <v>1.5</v>
      </c>
      <c r="AM23" s="100">
        <v>19786.8</v>
      </c>
      <c r="AN23" s="91">
        <v>21499.3</v>
      </c>
      <c r="AO23" s="101">
        <f t="shared" si="10"/>
        <v>0.92034624383119445</v>
      </c>
      <c r="AP23" s="98"/>
      <c r="AQ23" s="99">
        <f t="shared" si="40"/>
        <v>1</v>
      </c>
      <c r="AR23" s="102">
        <f t="shared" si="21"/>
        <v>1</v>
      </c>
      <c r="AS23" s="100">
        <v>49346.6</v>
      </c>
      <c r="AT23" s="91">
        <v>49346.9</v>
      </c>
      <c r="AU23" s="97">
        <f t="shared" si="22"/>
        <v>0.99999392059075642</v>
      </c>
      <c r="AV23" s="98"/>
      <c r="AW23" s="99">
        <f t="shared" si="41"/>
        <v>1</v>
      </c>
      <c r="AX23" s="102">
        <f t="shared" si="11"/>
        <v>1</v>
      </c>
      <c r="AY23" s="103">
        <f t="shared" si="24"/>
        <v>6.5</v>
      </c>
      <c r="AZ23" s="72">
        <f t="shared" si="12"/>
        <v>0.77379059802731398</v>
      </c>
      <c r="BA23" s="6">
        <f t="shared" si="25"/>
        <v>0</v>
      </c>
      <c r="BB23" s="73">
        <f t="shared" si="26"/>
        <v>0</v>
      </c>
      <c r="BC23" s="73">
        <f t="shared" si="27"/>
        <v>0</v>
      </c>
      <c r="BD23" s="73">
        <f t="shared" si="28"/>
        <v>1</v>
      </c>
      <c r="BE23" s="6">
        <f t="shared" si="29"/>
        <v>0</v>
      </c>
      <c r="BG23" s="72" t="e">
        <f>(#REF!+L23)/(J23-T23)</f>
        <v>#REF!</v>
      </c>
      <c r="BH23" s="6" t="e">
        <f t="shared" si="30"/>
        <v>#REF!</v>
      </c>
      <c r="BI23" s="73" t="e">
        <f t="shared" si="31"/>
        <v>#REF!</v>
      </c>
      <c r="BJ23" s="73" t="e">
        <f t="shared" si="32"/>
        <v>#REF!</v>
      </c>
      <c r="BK23" s="73" t="e">
        <f t="shared" si="33"/>
        <v>#REF!</v>
      </c>
      <c r="BL23" s="6" t="e">
        <f t="shared" si="34"/>
        <v>#REF!</v>
      </c>
    </row>
    <row r="24" spans="1:64" s="8" customFormat="1" x14ac:dyDescent="0.25">
      <c r="A24" s="87" t="s">
        <v>90</v>
      </c>
      <c r="B24" s="88">
        <v>0</v>
      </c>
      <c r="C24" s="88">
        <v>15623.271000000001</v>
      </c>
      <c r="D24" s="88">
        <v>0</v>
      </c>
      <c r="E24" s="89">
        <f t="shared" si="13"/>
        <v>0</v>
      </c>
      <c r="F24" s="90"/>
      <c r="G24" s="91">
        <f t="shared" si="36"/>
        <v>1</v>
      </c>
      <c r="H24" s="92">
        <f t="shared" si="0"/>
        <v>1</v>
      </c>
      <c r="I24" s="88">
        <v>0</v>
      </c>
      <c r="J24" s="93">
        <v>322620.67641000001</v>
      </c>
      <c r="K24" s="94">
        <v>262233.57640999998</v>
      </c>
      <c r="L24" s="88">
        <v>40881.874809999994</v>
      </c>
      <c r="M24" s="88">
        <v>0</v>
      </c>
      <c r="N24" s="89">
        <f t="shared" si="15"/>
        <v>0</v>
      </c>
      <c r="O24" s="90"/>
      <c r="P24" s="91">
        <f t="shared" si="37"/>
        <v>1</v>
      </c>
      <c r="Q24" s="92">
        <f t="shared" si="2"/>
        <v>1</v>
      </c>
      <c r="R24" s="104">
        <v>0</v>
      </c>
      <c r="S24" s="88">
        <v>338980.73911999998</v>
      </c>
      <c r="T24" s="94">
        <v>123047.77387</v>
      </c>
      <c r="U24" s="89">
        <f t="shared" si="3"/>
        <v>0</v>
      </c>
      <c r="V24" s="90"/>
      <c r="W24" s="91">
        <f t="shared" si="38"/>
        <v>1</v>
      </c>
      <c r="X24" s="92">
        <f t="shared" si="16"/>
        <v>1</v>
      </c>
      <c r="Y24" s="88">
        <f t="shared" si="17"/>
        <v>15623.271000000001</v>
      </c>
      <c r="Z24" s="96"/>
      <c r="AA24" s="96">
        <v>15623271</v>
      </c>
      <c r="AB24" s="96"/>
      <c r="AC24" s="96">
        <f t="shared" si="5"/>
        <v>322620.67641000001</v>
      </c>
      <c r="AD24" s="96">
        <f t="shared" si="5"/>
        <v>262233.57640999998</v>
      </c>
      <c r="AE24" s="96">
        <f t="shared" si="5"/>
        <v>40881.874809999994</v>
      </c>
      <c r="AF24" s="96">
        <f t="shared" si="18"/>
        <v>19505.225190000041</v>
      </c>
      <c r="AG24" s="96">
        <f t="shared" ref="AG24:AG31" si="42">AF24*5%</f>
        <v>975.2612595000021</v>
      </c>
      <c r="AH24" s="96">
        <f t="shared" si="35"/>
        <v>15624246.2612595</v>
      </c>
      <c r="AI24" s="97">
        <f t="shared" si="8"/>
        <v>0</v>
      </c>
      <c r="AJ24" s="98"/>
      <c r="AK24" s="99">
        <f t="shared" si="39"/>
        <v>1.5</v>
      </c>
      <c r="AL24" s="92">
        <f t="shared" si="9"/>
        <v>1.5</v>
      </c>
      <c r="AM24" s="100">
        <v>12882.6</v>
      </c>
      <c r="AN24" s="91">
        <v>15096.2</v>
      </c>
      <c r="AO24" s="101">
        <f t="shared" si="10"/>
        <v>0.85336707250831334</v>
      </c>
      <c r="AP24" s="98"/>
      <c r="AQ24" s="99">
        <f t="shared" si="40"/>
        <v>1</v>
      </c>
      <c r="AR24" s="102">
        <f>AP24+AQ24</f>
        <v>1</v>
      </c>
      <c r="AS24" s="100">
        <v>33468.800000000003</v>
      </c>
      <c r="AT24" s="91">
        <v>37466.9</v>
      </c>
      <c r="AU24" s="97">
        <f t="shared" si="22"/>
        <v>0.89328981047271061</v>
      </c>
      <c r="AV24" s="98"/>
      <c r="AW24" s="99">
        <f t="shared" si="41"/>
        <v>1</v>
      </c>
      <c r="AX24" s="102">
        <f t="shared" si="11"/>
        <v>1</v>
      </c>
      <c r="AY24" s="103">
        <f t="shared" si="24"/>
        <v>6.5</v>
      </c>
      <c r="AZ24" s="72">
        <f t="shared" si="12"/>
        <v>0.90226516254584899</v>
      </c>
      <c r="BA24" s="6">
        <f t="shared" si="25"/>
        <v>0</v>
      </c>
      <c r="BB24" s="73">
        <f t="shared" si="26"/>
        <v>0</v>
      </c>
      <c r="BC24" s="73">
        <f t="shared" si="27"/>
        <v>0</v>
      </c>
      <c r="BD24" s="73">
        <f t="shared" si="28"/>
        <v>0</v>
      </c>
      <c r="BE24" s="6">
        <f t="shared" si="29"/>
        <v>1</v>
      </c>
      <c r="BG24" s="72" t="e">
        <f>(#REF!+L24)/(J24-T24)</f>
        <v>#REF!</v>
      </c>
      <c r="BH24" s="6" t="e">
        <f t="shared" si="30"/>
        <v>#REF!</v>
      </c>
      <c r="BI24" s="73" t="e">
        <f t="shared" si="31"/>
        <v>#REF!</v>
      </c>
      <c r="BJ24" s="73" t="e">
        <f t="shared" si="32"/>
        <v>#REF!</v>
      </c>
      <c r="BK24" s="73" t="e">
        <f t="shared" si="33"/>
        <v>#REF!</v>
      </c>
      <c r="BL24" s="6" t="e">
        <f t="shared" si="34"/>
        <v>#REF!</v>
      </c>
    </row>
    <row r="25" spans="1:64" s="8" customFormat="1" x14ac:dyDescent="0.25">
      <c r="A25" s="87" t="s">
        <v>91</v>
      </c>
      <c r="B25" s="88">
        <v>0</v>
      </c>
      <c r="C25" s="88">
        <v>7329.1905999999999</v>
      </c>
      <c r="D25" s="88">
        <v>0</v>
      </c>
      <c r="E25" s="89">
        <f t="shared" si="13"/>
        <v>0</v>
      </c>
      <c r="F25" s="90"/>
      <c r="G25" s="91">
        <f t="shared" si="36"/>
        <v>1</v>
      </c>
      <c r="H25" s="92">
        <f t="shared" si="0"/>
        <v>1</v>
      </c>
      <c r="I25" s="88">
        <v>0</v>
      </c>
      <c r="J25" s="93">
        <v>536719.56073000003</v>
      </c>
      <c r="K25" s="94">
        <v>382328.87073000002</v>
      </c>
      <c r="L25" s="88">
        <v>100239.78769</v>
      </c>
      <c r="M25" s="88">
        <v>0</v>
      </c>
      <c r="N25" s="89">
        <f t="shared" si="15"/>
        <v>0</v>
      </c>
      <c r="O25" s="90"/>
      <c r="P25" s="91">
        <f t="shared" si="37"/>
        <v>1</v>
      </c>
      <c r="Q25" s="92">
        <f>O25+P25</f>
        <v>1</v>
      </c>
      <c r="R25" s="104">
        <v>0</v>
      </c>
      <c r="S25" s="88">
        <v>546865.81170000008</v>
      </c>
      <c r="T25" s="94">
        <v>244811.08584000001</v>
      </c>
      <c r="U25" s="89">
        <f t="shared" si="3"/>
        <v>0</v>
      </c>
      <c r="V25" s="90"/>
      <c r="W25" s="91">
        <f t="shared" si="38"/>
        <v>1</v>
      </c>
      <c r="X25" s="92">
        <f t="shared" si="16"/>
        <v>1</v>
      </c>
      <c r="Y25" s="88">
        <f t="shared" si="17"/>
        <v>7329.1905999999999</v>
      </c>
      <c r="Z25" s="96"/>
      <c r="AA25" s="96">
        <v>7329190.5999999996</v>
      </c>
      <c r="AB25" s="96"/>
      <c r="AC25" s="96">
        <f t="shared" si="5"/>
        <v>536719.56073000003</v>
      </c>
      <c r="AD25" s="96">
        <f t="shared" si="5"/>
        <v>382328.87073000002</v>
      </c>
      <c r="AE25" s="96">
        <f t="shared" si="5"/>
        <v>100239.78769</v>
      </c>
      <c r="AF25" s="96">
        <f t="shared" si="18"/>
        <v>54150.902310000005</v>
      </c>
      <c r="AG25" s="96">
        <f>AF25*10%</f>
        <v>5415.090231000001</v>
      </c>
      <c r="AH25" s="96">
        <f t="shared" si="35"/>
        <v>7334605.6902310001</v>
      </c>
      <c r="AI25" s="97">
        <f t="shared" si="8"/>
        <v>0</v>
      </c>
      <c r="AJ25" s="98"/>
      <c r="AK25" s="99">
        <f t="shared" si="39"/>
        <v>1.5</v>
      </c>
      <c r="AL25" s="92">
        <f t="shared" si="9"/>
        <v>1.5</v>
      </c>
      <c r="AM25" s="100">
        <v>14586.8</v>
      </c>
      <c r="AN25" s="91">
        <v>17840.7</v>
      </c>
      <c r="AO25" s="101">
        <f t="shared" si="10"/>
        <v>0.81761365865689117</v>
      </c>
      <c r="AP25" s="98"/>
      <c r="AQ25" s="99">
        <f t="shared" si="40"/>
        <v>1</v>
      </c>
      <c r="AR25" s="102">
        <f t="shared" si="21"/>
        <v>1</v>
      </c>
      <c r="AS25" s="100">
        <v>32429.9</v>
      </c>
      <c r="AT25" s="91">
        <v>42505.2</v>
      </c>
      <c r="AU25" s="97">
        <f t="shared" si="22"/>
        <v>0.76296311980651788</v>
      </c>
      <c r="AV25" s="98"/>
      <c r="AW25" s="99">
        <f t="shared" si="41"/>
        <v>1</v>
      </c>
      <c r="AX25" s="102">
        <f t="shared" si="11"/>
        <v>1</v>
      </c>
      <c r="AY25" s="103">
        <f t="shared" si="24"/>
        <v>6.5</v>
      </c>
      <c r="AZ25" s="72">
        <f t="shared" si="12"/>
        <v>0.81449355887866659</v>
      </c>
      <c r="BA25" s="6">
        <f t="shared" si="25"/>
        <v>0</v>
      </c>
      <c r="BB25" s="73">
        <f t="shared" si="26"/>
        <v>0</v>
      </c>
      <c r="BC25" s="73">
        <f t="shared" si="27"/>
        <v>0</v>
      </c>
      <c r="BD25" s="73">
        <f t="shared" si="28"/>
        <v>1</v>
      </c>
      <c r="BE25" s="6">
        <f t="shared" si="29"/>
        <v>0</v>
      </c>
      <c r="BG25" s="72" t="e">
        <f>(#REF!+L25)/(J25-T25)</f>
        <v>#REF!</v>
      </c>
      <c r="BH25" s="6" t="e">
        <f t="shared" si="30"/>
        <v>#REF!</v>
      </c>
      <c r="BI25" s="73" t="e">
        <f t="shared" si="31"/>
        <v>#REF!</v>
      </c>
      <c r="BJ25" s="73" t="e">
        <f t="shared" si="32"/>
        <v>#REF!</v>
      </c>
      <c r="BK25" s="73" t="e">
        <f t="shared" si="33"/>
        <v>#REF!</v>
      </c>
      <c r="BL25" s="6" t="e">
        <f t="shared" si="34"/>
        <v>#REF!</v>
      </c>
    </row>
    <row r="26" spans="1:64" s="8" customFormat="1" x14ac:dyDescent="0.25">
      <c r="A26" s="87" t="s">
        <v>92</v>
      </c>
      <c r="B26" s="88">
        <v>0</v>
      </c>
      <c r="C26" s="88">
        <v>2242.0440099999996</v>
      </c>
      <c r="D26" s="88">
        <v>0</v>
      </c>
      <c r="E26" s="89">
        <f t="shared" si="13"/>
        <v>0</v>
      </c>
      <c r="F26" s="90"/>
      <c r="G26" s="91">
        <f t="shared" si="36"/>
        <v>1</v>
      </c>
      <c r="H26" s="92">
        <f t="shared" si="0"/>
        <v>1</v>
      </c>
      <c r="I26" s="88">
        <v>0</v>
      </c>
      <c r="J26" s="93">
        <v>393901.28701999999</v>
      </c>
      <c r="K26" s="94">
        <v>285320.08701999998</v>
      </c>
      <c r="L26" s="88">
        <v>55737.154039999994</v>
      </c>
      <c r="M26" s="88">
        <v>0</v>
      </c>
      <c r="N26" s="89">
        <f t="shared" si="15"/>
        <v>0</v>
      </c>
      <c r="O26" s="90"/>
      <c r="P26" s="91">
        <f t="shared" si="37"/>
        <v>1</v>
      </c>
      <c r="Q26" s="92">
        <f t="shared" si="2"/>
        <v>1</v>
      </c>
      <c r="R26" s="104">
        <v>0</v>
      </c>
      <c r="S26" s="88">
        <v>396059.01818999997</v>
      </c>
      <c r="T26" s="94">
        <v>180236.72193</v>
      </c>
      <c r="U26" s="89">
        <f t="shared" si="3"/>
        <v>0</v>
      </c>
      <c r="V26" s="90"/>
      <c r="W26" s="91">
        <f t="shared" si="38"/>
        <v>1</v>
      </c>
      <c r="X26" s="92">
        <f t="shared" si="16"/>
        <v>1</v>
      </c>
      <c r="Y26" s="88">
        <f t="shared" si="17"/>
        <v>2242.0440099999996</v>
      </c>
      <c r="Z26" s="96"/>
      <c r="AA26" s="96">
        <v>2242044.0099999998</v>
      </c>
      <c r="AB26" s="96"/>
      <c r="AC26" s="96">
        <f t="shared" si="5"/>
        <v>393901.28701999999</v>
      </c>
      <c r="AD26" s="96">
        <f t="shared" si="5"/>
        <v>285320.08701999998</v>
      </c>
      <c r="AE26" s="96">
        <f t="shared" si="5"/>
        <v>55737.154039999994</v>
      </c>
      <c r="AF26" s="96">
        <f t="shared" si="18"/>
        <v>52844.045960000018</v>
      </c>
      <c r="AG26" s="96">
        <f t="shared" si="42"/>
        <v>2642.2022980000011</v>
      </c>
      <c r="AH26" s="96">
        <f t="shared" si="35"/>
        <v>2244686.2122979998</v>
      </c>
      <c r="AI26" s="97">
        <f t="shared" si="8"/>
        <v>0</v>
      </c>
      <c r="AJ26" s="90"/>
      <c r="AK26" s="99">
        <f t="shared" si="39"/>
        <v>1.5</v>
      </c>
      <c r="AL26" s="92">
        <f t="shared" si="9"/>
        <v>1.5</v>
      </c>
      <c r="AM26" s="100">
        <v>13488.1</v>
      </c>
      <c r="AN26" s="91">
        <v>14022.1</v>
      </c>
      <c r="AO26" s="101">
        <f t="shared" si="10"/>
        <v>0.96191725918371718</v>
      </c>
      <c r="AP26" s="90"/>
      <c r="AQ26" s="99">
        <f t="shared" si="40"/>
        <v>1</v>
      </c>
      <c r="AR26" s="102">
        <f t="shared" si="21"/>
        <v>1</v>
      </c>
      <c r="AS26" s="100">
        <v>32524.9</v>
      </c>
      <c r="AT26" s="91">
        <v>33233.800000000003</v>
      </c>
      <c r="AU26" s="97">
        <f t="shared" si="22"/>
        <v>0.97866930654935635</v>
      </c>
      <c r="AV26" s="90"/>
      <c r="AW26" s="99">
        <f t="shared" si="41"/>
        <v>1</v>
      </c>
      <c r="AX26" s="102">
        <f t="shared" si="11"/>
        <v>1</v>
      </c>
      <c r="AY26" s="103">
        <f t="shared" si="24"/>
        <v>6.5</v>
      </c>
      <c r="AZ26" s="72">
        <f t="shared" si="12"/>
        <v>0.75267753949869509</v>
      </c>
      <c r="BA26" s="6">
        <f t="shared" si="25"/>
        <v>0</v>
      </c>
      <c r="BB26" s="73">
        <f t="shared" si="26"/>
        <v>0</v>
      </c>
      <c r="BC26" s="73">
        <f t="shared" si="27"/>
        <v>0</v>
      </c>
      <c r="BD26" s="73">
        <f t="shared" si="28"/>
        <v>1</v>
      </c>
      <c r="BE26" s="6">
        <f t="shared" si="29"/>
        <v>0</v>
      </c>
      <c r="BG26" s="72" t="e">
        <f>(#REF!+L26)/(J26-T26)</f>
        <v>#REF!</v>
      </c>
      <c r="BH26" s="6" t="e">
        <f t="shared" si="30"/>
        <v>#REF!</v>
      </c>
      <c r="BI26" s="73" t="e">
        <f t="shared" si="31"/>
        <v>#REF!</v>
      </c>
      <c r="BJ26" s="73" t="e">
        <f t="shared" si="32"/>
        <v>#REF!</v>
      </c>
      <c r="BK26" s="73" t="e">
        <f t="shared" si="33"/>
        <v>#REF!</v>
      </c>
      <c r="BL26" s="6" t="e">
        <f t="shared" si="34"/>
        <v>#REF!</v>
      </c>
    </row>
    <row r="27" spans="1:64" s="8" customFormat="1" x14ac:dyDescent="0.25">
      <c r="A27" s="87" t="s">
        <v>93</v>
      </c>
      <c r="B27" s="88">
        <v>0</v>
      </c>
      <c r="C27" s="88">
        <v>1166.4598000000001</v>
      </c>
      <c r="D27" s="88">
        <v>0</v>
      </c>
      <c r="E27" s="89">
        <f t="shared" si="13"/>
        <v>0</v>
      </c>
      <c r="F27" s="90"/>
      <c r="G27" s="91">
        <f t="shared" si="36"/>
        <v>1</v>
      </c>
      <c r="H27" s="92">
        <f t="shared" si="0"/>
        <v>1</v>
      </c>
      <c r="I27" s="88">
        <v>0</v>
      </c>
      <c r="J27" s="93">
        <v>344413.21527999995</v>
      </c>
      <c r="K27" s="94">
        <v>235118.98527999999</v>
      </c>
      <c r="L27" s="88">
        <v>66067.291919999989</v>
      </c>
      <c r="M27" s="88">
        <v>0</v>
      </c>
      <c r="N27" s="89">
        <f t="shared" si="15"/>
        <v>0</v>
      </c>
      <c r="O27" s="90"/>
      <c r="P27" s="91">
        <f t="shared" si="37"/>
        <v>1</v>
      </c>
      <c r="Q27" s="92">
        <f t="shared" si="2"/>
        <v>1</v>
      </c>
      <c r="R27" s="104">
        <v>0</v>
      </c>
      <c r="S27" s="88">
        <v>346077.56224</v>
      </c>
      <c r="T27" s="94">
        <v>157078.98665000001</v>
      </c>
      <c r="U27" s="89">
        <f t="shared" si="3"/>
        <v>0</v>
      </c>
      <c r="V27" s="90"/>
      <c r="W27" s="91">
        <f t="shared" si="38"/>
        <v>1</v>
      </c>
      <c r="X27" s="92">
        <f t="shared" si="16"/>
        <v>1</v>
      </c>
      <c r="Y27" s="88">
        <f t="shared" si="17"/>
        <v>1166.4598000000001</v>
      </c>
      <c r="Z27" s="96"/>
      <c r="AA27" s="96">
        <v>1166459.8</v>
      </c>
      <c r="AB27" s="96"/>
      <c r="AC27" s="96">
        <f t="shared" si="5"/>
        <v>344413.21527999995</v>
      </c>
      <c r="AD27" s="96">
        <f t="shared" si="5"/>
        <v>235118.98527999999</v>
      </c>
      <c r="AE27" s="96">
        <f t="shared" si="5"/>
        <v>66067.291919999989</v>
      </c>
      <c r="AF27" s="96">
        <f t="shared" si="18"/>
        <v>43226.938079999964</v>
      </c>
      <c r="AG27" s="96">
        <f t="shared" si="42"/>
        <v>2161.3469039999982</v>
      </c>
      <c r="AH27" s="96">
        <f t="shared" si="35"/>
        <v>1168621.1469040001</v>
      </c>
      <c r="AI27" s="97">
        <f t="shared" si="8"/>
        <v>0</v>
      </c>
      <c r="AJ27" s="90"/>
      <c r="AK27" s="99">
        <f t="shared" si="39"/>
        <v>1.5</v>
      </c>
      <c r="AL27" s="92">
        <f t="shared" si="9"/>
        <v>1.5</v>
      </c>
      <c r="AM27" s="100">
        <v>13505.3</v>
      </c>
      <c r="AN27" s="91">
        <v>15096.2</v>
      </c>
      <c r="AO27" s="101">
        <f t="shared" si="10"/>
        <v>0.89461586359481182</v>
      </c>
      <c r="AP27" s="90"/>
      <c r="AQ27" s="99">
        <f t="shared" si="40"/>
        <v>1</v>
      </c>
      <c r="AR27" s="102">
        <f t="shared" si="21"/>
        <v>1</v>
      </c>
      <c r="AS27" s="100">
        <v>32485.4</v>
      </c>
      <c r="AT27" s="91">
        <v>37466.9</v>
      </c>
      <c r="AU27" s="97">
        <f t="shared" si="22"/>
        <v>0.86704264297286404</v>
      </c>
      <c r="AV27" s="90"/>
      <c r="AW27" s="99">
        <f t="shared" si="41"/>
        <v>1</v>
      </c>
      <c r="AX27" s="102">
        <f t="shared" si="11"/>
        <v>1</v>
      </c>
      <c r="AY27" s="103">
        <f t="shared" si="24"/>
        <v>6.5</v>
      </c>
      <c r="AZ27" s="72">
        <f t="shared" si="12"/>
        <v>0.76925232299444546</v>
      </c>
      <c r="BA27" s="6">
        <f t="shared" si="25"/>
        <v>0</v>
      </c>
      <c r="BB27" s="73">
        <f t="shared" si="26"/>
        <v>0</v>
      </c>
      <c r="BC27" s="73">
        <f t="shared" si="27"/>
        <v>0</v>
      </c>
      <c r="BD27" s="73">
        <f t="shared" si="28"/>
        <v>1</v>
      </c>
      <c r="BE27" s="6">
        <f t="shared" si="29"/>
        <v>0</v>
      </c>
      <c r="BG27" s="72" t="e">
        <f>(#REF!+L27)/(J27-T27)</f>
        <v>#REF!</v>
      </c>
      <c r="BH27" s="6" t="e">
        <f t="shared" si="30"/>
        <v>#REF!</v>
      </c>
      <c r="BI27" s="73" t="e">
        <f t="shared" si="31"/>
        <v>#REF!</v>
      </c>
      <c r="BJ27" s="73" t="e">
        <f t="shared" si="32"/>
        <v>#REF!</v>
      </c>
      <c r="BK27" s="73" t="e">
        <f t="shared" si="33"/>
        <v>#REF!</v>
      </c>
      <c r="BL27" s="6" t="e">
        <f t="shared" si="34"/>
        <v>#REF!</v>
      </c>
    </row>
    <row r="28" spans="1:64" s="8" customFormat="1" x14ac:dyDescent="0.25">
      <c r="A28" s="87" t="s">
        <v>94</v>
      </c>
      <c r="B28" s="88">
        <v>0</v>
      </c>
      <c r="C28" s="88">
        <v>4790.9636700000001</v>
      </c>
      <c r="D28" s="88">
        <v>0</v>
      </c>
      <c r="E28" s="89">
        <f t="shared" si="13"/>
        <v>0</v>
      </c>
      <c r="F28" s="90"/>
      <c r="G28" s="91">
        <f t="shared" si="36"/>
        <v>1</v>
      </c>
      <c r="H28" s="92">
        <f t="shared" si="0"/>
        <v>1</v>
      </c>
      <c r="I28" s="88">
        <v>0</v>
      </c>
      <c r="J28" s="93">
        <v>293153.07338999998</v>
      </c>
      <c r="K28" s="94">
        <v>231597.49938999998</v>
      </c>
      <c r="L28" s="88">
        <v>30961.125189999999</v>
      </c>
      <c r="M28" s="88">
        <v>0</v>
      </c>
      <c r="N28" s="89">
        <f t="shared" si="15"/>
        <v>0</v>
      </c>
      <c r="O28" s="90"/>
      <c r="P28" s="91">
        <f t="shared" si="37"/>
        <v>1</v>
      </c>
      <c r="Q28" s="92">
        <f t="shared" si="2"/>
        <v>1</v>
      </c>
      <c r="R28" s="104">
        <v>0</v>
      </c>
      <c r="S28" s="88">
        <v>297944.03706</v>
      </c>
      <c r="T28" s="94">
        <v>134837.09771999999</v>
      </c>
      <c r="U28" s="89">
        <f t="shared" si="3"/>
        <v>0</v>
      </c>
      <c r="V28" s="90"/>
      <c r="W28" s="91">
        <f t="shared" si="38"/>
        <v>1</v>
      </c>
      <c r="X28" s="92">
        <f t="shared" si="16"/>
        <v>1</v>
      </c>
      <c r="Y28" s="88">
        <f t="shared" si="17"/>
        <v>4790.9636700000001</v>
      </c>
      <c r="Z28" s="96"/>
      <c r="AA28" s="96">
        <v>4790963.67</v>
      </c>
      <c r="AB28" s="96"/>
      <c r="AC28" s="96">
        <f t="shared" si="5"/>
        <v>293153.07338999998</v>
      </c>
      <c r="AD28" s="96">
        <f t="shared" si="5"/>
        <v>231597.49938999998</v>
      </c>
      <c r="AE28" s="96">
        <f t="shared" si="5"/>
        <v>30961.125189999999</v>
      </c>
      <c r="AF28" s="96">
        <f t="shared" si="18"/>
        <v>30594.448809999994</v>
      </c>
      <c r="AG28" s="96">
        <f t="shared" si="42"/>
        <v>1529.7224404999997</v>
      </c>
      <c r="AH28" s="96">
        <f t="shared" si="35"/>
        <v>4792493.3924404997</v>
      </c>
      <c r="AI28" s="97">
        <f t="shared" si="8"/>
        <v>0</v>
      </c>
      <c r="AJ28" s="90"/>
      <c r="AK28" s="99">
        <f t="shared" si="39"/>
        <v>1.5</v>
      </c>
      <c r="AL28" s="92">
        <f t="shared" si="9"/>
        <v>1.5</v>
      </c>
      <c r="AM28" s="100">
        <v>11278</v>
      </c>
      <c r="AN28" s="91">
        <v>13486.8</v>
      </c>
      <c r="AO28" s="101">
        <f t="shared" si="10"/>
        <v>0.83622504967820388</v>
      </c>
      <c r="AP28" s="90"/>
      <c r="AQ28" s="99">
        <f t="shared" si="40"/>
        <v>1</v>
      </c>
      <c r="AR28" s="102">
        <f t="shared" si="21"/>
        <v>1</v>
      </c>
      <c r="AS28" s="100">
        <v>30411.1</v>
      </c>
      <c r="AT28" s="91">
        <v>33826.9</v>
      </c>
      <c r="AU28" s="97">
        <f t="shared" si="22"/>
        <v>0.89902119319240004</v>
      </c>
      <c r="AV28" s="90"/>
      <c r="AW28" s="99">
        <f t="shared" si="41"/>
        <v>1</v>
      </c>
      <c r="AX28" s="102">
        <f t="shared" si="11"/>
        <v>1</v>
      </c>
      <c r="AY28" s="103">
        <f t="shared" si="24"/>
        <v>6.5</v>
      </c>
      <c r="AZ28" s="72">
        <f t="shared" si="12"/>
        <v>0.8067507168463387</v>
      </c>
      <c r="BA28" s="6">
        <f t="shared" si="25"/>
        <v>0</v>
      </c>
      <c r="BB28" s="73">
        <f t="shared" si="26"/>
        <v>0</v>
      </c>
      <c r="BC28" s="73">
        <f t="shared" si="27"/>
        <v>0</v>
      </c>
      <c r="BD28" s="73">
        <f t="shared" si="28"/>
        <v>1</v>
      </c>
      <c r="BE28" s="6">
        <f t="shared" si="29"/>
        <v>0</v>
      </c>
      <c r="BG28" s="72" t="e">
        <f>(#REF!+L28)/(J28-T28)</f>
        <v>#REF!</v>
      </c>
      <c r="BH28" s="6" t="e">
        <f t="shared" si="30"/>
        <v>#REF!</v>
      </c>
      <c r="BI28" s="73" t="e">
        <f t="shared" si="31"/>
        <v>#REF!</v>
      </c>
      <c r="BJ28" s="73" t="e">
        <f t="shared" si="32"/>
        <v>#REF!</v>
      </c>
      <c r="BK28" s="73" t="e">
        <f t="shared" si="33"/>
        <v>#REF!</v>
      </c>
      <c r="BL28" s="6" t="e">
        <f t="shared" si="34"/>
        <v>#REF!</v>
      </c>
    </row>
    <row r="29" spans="1:64" s="8" customFormat="1" x14ac:dyDescent="0.25">
      <c r="A29" s="87" t="s">
        <v>95</v>
      </c>
      <c r="B29" s="88">
        <v>0</v>
      </c>
      <c r="C29" s="88">
        <v>12893.069579999999</v>
      </c>
      <c r="D29" s="88">
        <v>0</v>
      </c>
      <c r="E29" s="89">
        <f t="shared" si="13"/>
        <v>0</v>
      </c>
      <c r="F29" s="90"/>
      <c r="G29" s="91">
        <f t="shared" si="36"/>
        <v>1</v>
      </c>
      <c r="H29" s="92">
        <f t="shared" si="0"/>
        <v>1</v>
      </c>
      <c r="I29" s="88">
        <v>0</v>
      </c>
      <c r="J29" s="93">
        <v>342658.93855999998</v>
      </c>
      <c r="K29" s="94">
        <v>257519.03856000002</v>
      </c>
      <c r="L29" s="88">
        <v>44941.893749999996</v>
      </c>
      <c r="M29" s="88">
        <v>0</v>
      </c>
      <c r="N29" s="89">
        <f t="shared" si="15"/>
        <v>0</v>
      </c>
      <c r="O29" s="90"/>
      <c r="P29" s="91">
        <f t="shared" si="37"/>
        <v>1</v>
      </c>
      <c r="Q29" s="92">
        <f t="shared" si="2"/>
        <v>1</v>
      </c>
      <c r="R29" s="104">
        <v>0</v>
      </c>
      <c r="S29" s="88">
        <v>355429.29864999995</v>
      </c>
      <c r="T29" s="94">
        <v>124478.91025</v>
      </c>
      <c r="U29" s="89">
        <f t="shared" si="3"/>
        <v>0</v>
      </c>
      <c r="V29" s="90"/>
      <c r="W29" s="91">
        <f t="shared" si="38"/>
        <v>1</v>
      </c>
      <c r="X29" s="92">
        <f t="shared" si="16"/>
        <v>1</v>
      </c>
      <c r="Y29" s="88">
        <f t="shared" si="17"/>
        <v>12893.069579999999</v>
      </c>
      <c r="Z29" s="96"/>
      <c r="AA29" s="96">
        <v>12893069.58</v>
      </c>
      <c r="AB29" s="96"/>
      <c r="AC29" s="96">
        <f t="shared" si="5"/>
        <v>342658.93855999998</v>
      </c>
      <c r="AD29" s="96">
        <f t="shared" si="5"/>
        <v>257519.03856000002</v>
      </c>
      <c r="AE29" s="96">
        <f t="shared" si="5"/>
        <v>44941.893749999996</v>
      </c>
      <c r="AF29" s="96">
        <f t="shared" si="18"/>
        <v>40198.006249999969</v>
      </c>
      <c r="AG29" s="96">
        <f t="shared" si="42"/>
        <v>2009.9003124999986</v>
      </c>
      <c r="AH29" s="96">
        <f t="shared" si="35"/>
        <v>12895079.4803125</v>
      </c>
      <c r="AI29" s="97">
        <f t="shared" si="8"/>
        <v>0</v>
      </c>
      <c r="AJ29" s="90"/>
      <c r="AK29" s="99">
        <f t="shared" si="39"/>
        <v>1.5</v>
      </c>
      <c r="AL29" s="92">
        <f t="shared" si="9"/>
        <v>1.5</v>
      </c>
      <c r="AM29" s="100">
        <v>14210.9</v>
      </c>
      <c r="AN29" s="91">
        <v>15096.2</v>
      </c>
      <c r="AO29" s="101">
        <f t="shared" si="10"/>
        <v>0.94135610286032234</v>
      </c>
      <c r="AP29" s="90"/>
      <c r="AQ29" s="99">
        <f t="shared" si="40"/>
        <v>1</v>
      </c>
      <c r="AR29" s="102">
        <f t="shared" si="21"/>
        <v>1</v>
      </c>
      <c r="AS29" s="100">
        <v>34896</v>
      </c>
      <c r="AT29" s="91">
        <v>37466.9</v>
      </c>
      <c r="AU29" s="97">
        <f t="shared" si="22"/>
        <v>0.93138209993354126</v>
      </c>
      <c r="AV29" s="90"/>
      <c r="AW29" s="99">
        <f t="shared" si="41"/>
        <v>1</v>
      </c>
      <c r="AX29" s="102">
        <f t="shared" si="11"/>
        <v>1</v>
      </c>
      <c r="AY29" s="103">
        <f t="shared" si="24"/>
        <v>6.5</v>
      </c>
      <c r="AZ29" s="72">
        <f t="shared" si="12"/>
        <v>0.81575762657393713</v>
      </c>
      <c r="BA29" s="6">
        <f t="shared" si="25"/>
        <v>0</v>
      </c>
      <c r="BB29" s="73">
        <f t="shared" si="26"/>
        <v>0</v>
      </c>
      <c r="BC29" s="73">
        <f t="shared" si="27"/>
        <v>0</v>
      </c>
      <c r="BD29" s="73">
        <f t="shared" si="28"/>
        <v>1</v>
      </c>
      <c r="BE29" s="6">
        <f t="shared" si="29"/>
        <v>0</v>
      </c>
      <c r="BG29" s="72" t="e">
        <f>(#REF!+L29)/(J29-T29)</f>
        <v>#REF!</v>
      </c>
      <c r="BH29" s="6" t="e">
        <f t="shared" si="30"/>
        <v>#REF!</v>
      </c>
      <c r="BI29" s="73" t="e">
        <f t="shared" si="31"/>
        <v>#REF!</v>
      </c>
      <c r="BJ29" s="73" t="e">
        <f t="shared" si="32"/>
        <v>#REF!</v>
      </c>
      <c r="BK29" s="73" t="e">
        <f t="shared" si="33"/>
        <v>#REF!</v>
      </c>
      <c r="BL29" s="6" t="e">
        <f t="shared" si="34"/>
        <v>#REF!</v>
      </c>
    </row>
    <row r="30" spans="1:64" s="8" customFormat="1" x14ac:dyDescent="0.25">
      <c r="A30" s="87" t="s">
        <v>96</v>
      </c>
      <c r="B30" s="88">
        <v>0</v>
      </c>
      <c r="C30" s="88">
        <v>30410.221510000003</v>
      </c>
      <c r="D30" s="88">
        <v>0</v>
      </c>
      <c r="E30" s="89">
        <f t="shared" si="13"/>
        <v>0</v>
      </c>
      <c r="F30" s="90"/>
      <c r="G30" s="91">
        <f t="shared" si="36"/>
        <v>1</v>
      </c>
      <c r="H30" s="92">
        <f t="shared" si="0"/>
        <v>1</v>
      </c>
      <c r="I30" s="88">
        <v>0</v>
      </c>
      <c r="J30" s="93">
        <v>573048.07112999994</v>
      </c>
      <c r="K30" s="94">
        <v>445390.76613</v>
      </c>
      <c r="L30" s="88">
        <v>76670.320595409823</v>
      </c>
      <c r="M30" s="88">
        <v>0</v>
      </c>
      <c r="N30" s="89">
        <f t="shared" si="15"/>
        <v>0</v>
      </c>
      <c r="O30" s="90"/>
      <c r="P30" s="91">
        <f>IF(N30&lt;=0.5,1,0)</f>
        <v>1</v>
      </c>
      <c r="Q30" s="92">
        <f>O30+P30</f>
        <v>1</v>
      </c>
      <c r="R30" s="104">
        <v>0</v>
      </c>
      <c r="S30" s="88">
        <v>605576.67876000004</v>
      </c>
      <c r="T30" s="94">
        <v>206763.73193000001</v>
      </c>
      <c r="U30" s="89">
        <f t="shared" si="3"/>
        <v>0</v>
      </c>
      <c r="V30" s="90"/>
      <c r="W30" s="91">
        <f t="shared" si="38"/>
        <v>1</v>
      </c>
      <c r="X30" s="92">
        <f t="shared" si="16"/>
        <v>1</v>
      </c>
      <c r="Y30" s="88">
        <f t="shared" si="17"/>
        <v>30410.221510000003</v>
      </c>
      <c r="Z30" s="96"/>
      <c r="AA30" s="96">
        <v>30410221.510000002</v>
      </c>
      <c r="AB30" s="96"/>
      <c r="AC30" s="96">
        <f t="shared" si="5"/>
        <v>573048.07112999994</v>
      </c>
      <c r="AD30" s="96">
        <f t="shared" si="5"/>
        <v>445390.76613</v>
      </c>
      <c r="AE30" s="96">
        <f t="shared" si="5"/>
        <v>76670.320595409823</v>
      </c>
      <c r="AF30" s="96">
        <f t="shared" si="18"/>
        <v>50986.984404590112</v>
      </c>
      <c r="AG30" s="96">
        <f>AF30*10%</f>
        <v>5098.6984404590112</v>
      </c>
      <c r="AH30" s="96">
        <f t="shared" si="35"/>
        <v>30415320.20844046</v>
      </c>
      <c r="AI30" s="97">
        <f t="shared" si="8"/>
        <v>0</v>
      </c>
      <c r="AJ30" s="98"/>
      <c r="AK30" s="99">
        <f t="shared" si="39"/>
        <v>1.5</v>
      </c>
      <c r="AL30" s="92">
        <f t="shared" si="9"/>
        <v>1.5</v>
      </c>
      <c r="AM30" s="100">
        <v>16049.5</v>
      </c>
      <c r="AN30" s="91">
        <v>17840.7</v>
      </c>
      <c r="AO30" s="101">
        <f t="shared" si="10"/>
        <v>0.89960035200412536</v>
      </c>
      <c r="AP30" s="98"/>
      <c r="AQ30" s="99">
        <f t="shared" si="40"/>
        <v>1</v>
      </c>
      <c r="AR30" s="102">
        <f t="shared" si="21"/>
        <v>1</v>
      </c>
      <c r="AS30" s="100">
        <v>37534.1</v>
      </c>
      <c r="AT30" s="91">
        <v>42505.2</v>
      </c>
      <c r="AU30" s="97">
        <f t="shared" si="22"/>
        <v>0.88304725068932743</v>
      </c>
      <c r="AV30" s="98"/>
      <c r="AW30" s="99">
        <f t="shared" si="41"/>
        <v>1</v>
      </c>
      <c r="AX30" s="102">
        <f t="shared" si="11"/>
        <v>1</v>
      </c>
      <c r="AY30" s="103">
        <f t="shared" si="24"/>
        <v>6.5</v>
      </c>
      <c r="AZ30" s="72">
        <f t="shared" si="12"/>
        <v>0.86079944199648128</v>
      </c>
      <c r="BA30" s="6">
        <f t="shared" si="25"/>
        <v>0</v>
      </c>
      <c r="BB30" s="73">
        <f t="shared" si="26"/>
        <v>0</v>
      </c>
      <c r="BC30" s="73">
        <f t="shared" si="27"/>
        <v>0</v>
      </c>
      <c r="BD30" s="73">
        <f t="shared" si="28"/>
        <v>1</v>
      </c>
      <c r="BE30" s="6">
        <f t="shared" si="29"/>
        <v>0</v>
      </c>
      <c r="BG30" s="72" t="e">
        <f>(#REF!+L30)/(J30-T30)</f>
        <v>#REF!</v>
      </c>
      <c r="BH30" s="6" t="e">
        <f t="shared" si="30"/>
        <v>#REF!</v>
      </c>
      <c r="BI30" s="73" t="e">
        <f t="shared" si="31"/>
        <v>#REF!</v>
      </c>
      <c r="BJ30" s="73" t="e">
        <f t="shared" si="32"/>
        <v>#REF!</v>
      </c>
      <c r="BK30" s="73" t="e">
        <f t="shared" si="33"/>
        <v>#REF!</v>
      </c>
      <c r="BL30" s="6" t="e">
        <f t="shared" si="34"/>
        <v>#REF!</v>
      </c>
    </row>
    <row r="31" spans="1:64" s="8" customFormat="1" x14ac:dyDescent="0.25">
      <c r="A31" s="87" t="s">
        <v>97</v>
      </c>
      <c r="B31" s="88">
        <v>0</v>
      </c>
      <c r="C31" s="88">
        <v>20519.033100000001</v>
      </c>
      <c r="D31" s="88">
        <v>0</v>
      </c>
      <c r="E31" s="89">
        <f t="shared" si="13"/>
        <v>0</v>
      </c>
      <c r="F31" s="90"/>
      <c r="G31" s="91">
        <f t="shared" si="36"/>
        <v>1</v>
      </c>
      <c r="H31" s="92">
        <f t="shared" si="0"/>
        <v>1</v>
      </c>
      <c r="I31" s="88">
        <v>0</v>
      </c>
      <c r="J31" s="93">
        <v>586453.06407000008</v>
      </c>
      <c r="K31" s="94">
        <v>399554.49588</v>
      </c>
      <c r="L31" s="88">
        <v>128917.35216000001</v>
      </c>
      <c r="M31" s="88">
        <v>0</v>
      </c>
      <c r="N31" s="89">
        <f t="shared" si="15"/>
        <v>0</v>
      </c>
      <c r="O31" s="90"/>
      <c r="P31" s="91">
        <f t="shared" si="37"/>
        <v>1</v>
      </c>
      <c r="Q31" s="92">
        <f t="shared" si="2"/>
        <v>1</v>
      </c>
      <c r="R31" s="104">
        <v>0</v>
      </c>
      <c r="S31" s="88">
        <v>606972.09716999996</v>
      </c>
      <c r="T31" s="94">
        <v>256088.478</v>
      </c>
      <c r="U31" s="89">
        <f t="shared" si="3"/>
        <v>0</v>
      </c>
      <c r="V31" s="90"/>
      <c r="W31" s="91">
        <f t="shared" si="38"/>
        <v>1</v>
      </c>
      <c r="X31" s="92">
        <f t="shared" si="16"/>
        <v>1</v>
      </c>
      <c r="Y31" s="88">
        <f t="shared" si="17"/>
        <v>20519.033100000001</v>
      </c>
      <c r="Z31" s="96"/>
      <c r="AA31" s="96">
        <v>20519033.100000001</v>
      </c>
      <c r="AB31" s="96"/>
      <c r="AC31" s="96">
        <f t="shared" si="5"/>
        <v>586453.06407000008</v>
      </c>
      <c r="AD31" s="96">
        <f t="shared" si="5"/>
        <v>399554.49588</v>
      </c>
      <c r="AE31" s="96">
        <f t="shared" si="5"/>
        <v>128917.35216000001</v>
      </c>
      <c r="AF31" s="96">
        <f t="shared" si="18"/>
        <v>57981.216030000069</v>
      </c>
      <c r="AG31" s="96">
        <f t="shared" si="42"/>
        <v>2899.0608015000034</v>
      </c>
      <c r="AH31" s="96">
        <f t="shared" si="35"/>
        <v>20521932.1608015</v>
      </c>
      <c r="AI31" s="97">
        <f t="shared" si="8"/>
        <v>0</v>
      </c>
      <c r="AJ31" s="90"/>
      <c r="AK31" s="99">
        <f t="shared" si="39"/>
        <v>1.5</v>
      </c>
      <c r="AL31" s="92">
        <f t="shared" si="9"/>
        <v>1.5</v>
      </c>
      <c r="AM31" s="100">
        <v>17273.5</v>
      </c>
      <c r="AN31" s="91">
        <v>17840.7</v>
      </c>
      <c r="AO31" s="101">
        <f>AM31/AN31</f>
        <v>0.96820752548947064</v>
      </c>
      <c r="AP31" s="90"/>
      <c r="AQ31" s="99">
        <f t="shared" si="40"/>
        <v>1</v>
      </c>
      <c r="AR31" s="102">
        <f t="shared" si="21"/>
        <v>1</v>
      </c>
      <c r="AS31" s="100">
        <v>47164.4</v>
      </c>
      <c r="AT31" s="91">
        <v>47209.1</v>
      </c>
      <c r="AU31" s="97">
        <f t="shared" si="22"/>
        <v>0.99905314865142536</v>
      </c>
      <c r="AV31" s="90"/>
      <c r="AW31" s="99">
        <f t="shared" si="41"/>
        <v>1</v>
      </c>
      <c r="AX31" s="102">
        <f t="shared" si="11"/>
        <v>1</v>
      </c>
      <c r="AY31" s="103">
        <f t="shared" si="24"/>
        <v>6.5</v>
      </c>
      <c r="AZ31" s="72">
        <f t="shared" si="12"/>
        <v>0.82449324632600141</v>
      </c>
      <c r="BA31" s="6">
        <f t="shared" si="25"/>
        <v>0</v>
      </c>
      <c r="BB31" s="73">
        <f t="shared" si="26"/>
        <v>0</v>
      </c>
      <c r="BC31" s="73">
        <f t="shared" si="27"/>
        <v>0</v>
      </c>
      <c r="BD31" s="73">
        <f t="shared" si="28"/>
        <v>1</v>
      </c>
      <c r="BE31" s="6">
        <f t="shared" si="29"/>
        <v>0</v>
      </c>
      <c r="BG31" s="72" t="e">
        <f>(#REF!+L31)/(J31-T31)</f>
        <v>#REF!</v>
      </c>
      <c r="BH31" s="6" t="e">
        <f t="shared" si="30"/>
        <v>#REF!</v>
      </c>
      <c r="BI31" s="73" t="e">
        <f t="shared" si="31"/>
        <v>#REF!</v>
      </c>
      <c r="BJ31" s="73" t="e">
        <f t="shared" si="32"/>
        <v>#REF!</v>
      </c>
      <c r="BK31" s="73" t="e">
        <f t="shared" si="33"/>
        <v>#REF!</v>
      </c>
      <c r="BL31" s="6" t="e">
        <f t="shared" si="34"/>
        <v>#REF!</v>
      </c>
    </row>
    <row r="32" spans="1:64" s="8" customFormat="1" x14ac:dyDescent="0.25">
      <c r="A32" s="87" t="s">
        <v>98</v>
      </c>
      <c r="B32" s="88">
        <v>0</v>
      </c>
      <c r="C32" s="88">
        <v>38785.128240000005</v>
      </c>
      <c r="D32" s="88">
        <v>0</v>
      </c>
      <c r="E32" s="89">
        <f>IF(AND(B32=0,D32=0),0,B32/(IF(C32&gt;0,C32,0)+D32))</f>
        <v>0</v>
      </c>
      <c r="F32" s="90"/>
      <c r="G32" s="91">
        <f t="shared" si="36"/>
        <v>1</v>
      </c>
      <c r="H32" s="92">
        <f>F32+G32</f>
        <v>1</v>
      </c>
      <c r="I32" s="88">
        <v>0</v>
      </c>
      <c r="J32" s="93">
        <v>1044463.18022</v>
      </c>
      <c r="K32" s="94">
        <v>853742.97441999998</v>
      </c>
      <c r="L32" s="88">
        <v>111875.12510999999</v>
      </c>
      <c r="M32" s="88">
        <v>0</v>
      </c>
      <c r="N32" s="89">
        <f>(I32-M32)/(J32-K32-L32)</f>
        <v>0</v>
      </c>
      <c r="O32" s="90"/>
      <c r="P32" s="91">
        <f t="shared" si="37"/>
        <v>1</v>
      </c>
      <c r="Q32" s="92">
        <f>O32+P32</f>
        <v>1</v>
      </c>
      <c r="R32" s="104">
        <v>0</v>
      </c>
      <c r="S32" s="88">
        <v>1083248.30846</v>
      </c>
      <c r="T32" s="94">
        <v>345982.52401999995</v>
      </c>
      <c r="U32" s="89">
        <f>R32/(S32-T32)</f>
        <v>0</v>
      </c>
      <c r="V32" s="90"/>
      <c r="W32" s="91">
        <f t="shared" si="38"/>
        <v>1</v>
      </c>
      <c r="X32" s="92">
        <f t="shared" si="16"/>
        <v>1</v>
      </c>
      <c r="Y32" s="88">
        <f t="shared" si="17"/>
        <v>38785.128240000005</v>
      </c>
      <c r="Z32" s="96"/>
      <c r="AA32" s="96">
        <v>38785128.240000002</v>
      </c>
      <c r="AB32" s="96"/>
      <c r="AC32" s="96">
        <f t="shared" si="5"/>
        <v>1044463.18022</v>
      </c>
      <c r="AD32" s="96">
        <f t="shared" si="5"/>
        <v>853742.97441999998</v>
      </c>
      <c r="AE32" s="96">
        <f t="shared" si="5"/>
        <v>111875.12510999999</v>
      </c>
      <c r="AF32" s="96">
        <f>AC32-AD32-AE32</f>
        <v>78845.080690000003</v>
      </c>
      <c r="AG32" s="96">
        <f>AF32*10%</f>
        <v>7884.5080690000004</v>
      </c>
      <c r="AH32" s="96">
        <f>IF(AA32&gt;0,AA32,0)+AG32+IF(AB32&gt;0,AB32,0)</f>
        <v>38793012.748069003</v>
      </c>
      <c r="AI32" s="97">
        <f t="shared" si="8"/>
        <v>0</v>
      </c>
      <c r="AJ32" s="98"/>
      <c r="AK32" s="99">
        <f t="shared" si="39"/>
        <v>1.5</v>
      </c>
      <c r="AL32" s="92">
        <f>AJ32+AK32</f>
        <v>1.5</v>
      </c>
      <c r="AM32" s="100">
        <v>20197.099999999999</v>
      </c>
      <c r="AN32" s="91">
        <v>21499.3</v>
      </c>
      <c r="AO32" s="101">
        <f>AM32/AN32</f>
        <v>0.93943058611210595</v>
      </c>
      <c r="AP32" s="98"/>
      <c r="AQ32" s="99">
        <f t="shared" si="40"/>
        <v>1</v>
      </c>
      <c r="AR32" s="102">
        <f>AP32+AQ32</f>
        <v>1</v>
      </c>
      <c r="AS32" s="100">
        <v>48066.7</v>
      </c>
      <c r="AT32" s="91">
        <v>49346.9</v>
      </c>
      <c r="AU32" s="97">
        <f t="shared" si="22"/>
        <v>0.97405713428807073</v>
      </c>
      <c r="AV32" s="98"/>
      <c r="AW32" s="99">
        <f t="shared" si="41"/>
        <v>1</v>
      </c>
      <c r="AX32" s="102">
        <f t="shared" si="11"/>
        <v>1</v>
      </c>
      <c r="AY32" s="103">
        <f t="shared" si="24"/>
        <v>6.5</v>
      </c>
      <c r="AZ32" s="72">
        <f t="shared" si="12"/>
        <v>0.88711916358722498</v>
      </c>
      <c r="BA32" s="6">
        <f t="shared" si="25"/>
        <v>0</v>
      </c>
      <c r="BB32" s="73">
        <f t="shared" si="26"/>
        <v>0</v>
      </c>
      <c r="BC32" s="73">
        <f t="shared" si="27"/>
        <v>0</v>
      </c>
      <c r="BD32" s="73">
        <f t="shared" si="28"/>
        <v>1</v>
      </c>
      <c r="BE32" s="6">
        <f t="shared" si="29"/>
        <v>0</v>
      </c>
      <c r="BG32" s="72" t="e">
        <f>(#REF!+L32)/(J32-T32)</f>
        <v>#REF!</v>
      </c>
      <c r="BH32" s="6" t="e">
        <f t="shared" si="30"/>
        <v>#REF!</v>
      </c>
      <c r="BI32" s="73" t="e">
        <f t="shared" si="31"/>
        <v>#REF!</v>
      </c>
      <c r="BJ32" s="73" t="e">
        <f t="shared" si="32"/>
        <v>#REF!</v>
      </c>
      <c r="BK32" s="73" t="e">
        <f t="shared" si="33"/>
        <v>#REF!</v>
      </c>
      <c r="BL32" s="6" t="e">
        <f t="shared" si="34"/>
        <v>#REF!</v>
      </c>
    </row>
    <row r="33" spans="1:67" s="8" customFormat="1" x14ac:dyDescent="0.25">
      <c r="A33" s="87" t="s">
        <v>99</v>
      </c>
      <c r="B33" s="88">
        <v>0</v>
      </c>
      <c r="C33" s="88">
        <v>6271.22732</v>
      </c>
      <c r="D33" s="88">
        <v>0</v>
      </c>
      <c r="E33" s="89">
        <f t="shared" si="13"/>
        <v>0</v>
      </c>
      <c r="F33" s="90"/>
      <c r="G33" s="91">
        <f t="shared" si="36"/>
        <v>1</v>
      </c>
      <c r="H33" s="92">
        <f t="shared" si="0"/>
        <v>1</v>
      </c>
      <c r="I33" s="88">
        <v>0</v>
      </c>
      <c r="J33" s="93">
        <v>201399.43563999998</v>
      </c>
      <c r="K33" s="94">
        <v>153540.43563999998</v>
      </c>
      <c r="L33" s="88">
        <v>23831.913629999999</v>
      </c>
      <c r="M33" s="88">
        <v>0</v>
      </c>
      <c r="N33" s="89">
        <f t="shared" si="15"/>
        <v>0</v>
      </c>
      <c r="O33" s="90"/>
      <c r="P33" s="91">
        <f t="shared" si="37"/>
        <v>1</v>
      </c>
      <c r="Q33" s="92">
        <f t="shared" si="2"/>
        <v>1</v>
      </c>
      <c r="R33" s="104">
        <v>0</v>
      </c>
      <c r="S33" s="88">
        <v>207670.66296000002</v>
      </c>
      <c r="T33" s="94">
        <v>73474.947050000002</v>
      </c>
      <c r="U33" s="89">
        <f t="shared" si="3"/>
        <v>0</v>
      </c>
      <c r="V33" s="90"/>
      <c r="W33" s="91">
        <f t="shared" si="38"/>
        <v>1</v>
      </c>
      <c r="X33" s="92">
        <f t="shared" si="16"/>
        <v>1</v>
      </c>
      <c r="Y33" s="88">
        <f t="shared" si="17"/>
        <v>6271.22732</v>
      </c>
      <c r="Z33" s="96"/>
      <c r="AA33" s="96">
        <v>6271227.3200000003</v>
      </c>
      <c r="AB33" s="96"/>
      <c r="AC33" s="96">
        <f t="shared" si="5"/>
        <v>201399.43563999998</v>
      </c>
      <c r="AD33" s="96">
        <f t="shared" si="5"/>
        <v>153540.43563999998</v>
      </c>
      <c r="AE33" s="96">
        <f t="shared" si="5"/>
        <v>23831.913629999999</v>
      </c>
      <c r="AF33" s="96">
        <f t="shared" si="18"/>
        <v>24027.086370000001</v>
      </c>
      <c r="AG33" s="96">
        <f t="shared" ref="AG33:AG38" si="43">AF33*5%</f>
        <v>1201.3543185000001</v>
      </c>
      <c r="AH33" s="96">
        <f t="shared" si="35"/>
        <v>6272428.6743184999</v>
      </c>
      <c r="AI33" s="97">
        <f t="shared" si="8"/>
        <v>0</v>
      </c>
      <c r="AJ33" s="98"/>
      <c r="AK33" s="99">
        <f t="shared" si="39"/>
        <v>1.5</v>
      </c>
      <c r="AL33" s="92">
        <f t="shared" si="9"/>
        <v>1.5</v>
      </c>
      <c r="AM33" s="100">
        <v>9397</v>
      </c>
      <c r="AN33" s="91">
        <v>12371.1</v>
      </c>
      <c r="AO33" s="101">
        <f t="shared" si="10"/>
        <v>0.75959292221386943</v>
      </c>
      <c r="AP33" s="98"/>
      <c r="AQ33" s="99">
        <f t="shared" si="40"/>
        <v>1</v>
      </c>
      <c r="AR33" s="102">
        <f>AP33+AQ33</f>
        <v>1</v>
      </c>
      <c r="AS33" s="100">
        <v>26663.4</v>
      </c>
      <c r="AT33" s="91">
        <v>31333.4</v>
      </c>
      <c r="AU33" s="97">
        <f t="shared" si="22"/>
        <v>0.85095776391965128</v>
      </c>
      <c r="AV33" s="98"/>
      <c r="AW33" s="99">
        <f t="shared" si="41"/>
        <v>1</v>
      </c>
      <c r="AX33" s="102">
        <f t="shared" si="11"/>
        <v>1</v>
      </c>
      <c r="AY33" s="103">
        <f t="shared" si="24"/>
        <v>6.5</v>
      </c>
      <c r="AZ33" s="72">
        <f t="shared" si="12"/>
        <v>0.81217758511423721</v>
      </c>
      <c r="BA33" s="6">
        <f t="shared" si="25"/>
        <v>0</v>
      </c>
      <c r="BB33" s="73">
        <f t="shared" si="26"/>
        <v>0</v>
      </c>
      <c r="BC33" s="73">
        <f t="shared" si="27"/>
        <v>0</v>
      </c>
      <c r="BD33" s="73">
        <f t="shared" si="28"/>
        <v>1</v>
      </c>
      <c r="BE33" s="6">
        <f t="shared" si="29"/>
        <v>0</v>
      </c>
      <c r="BG33" s="72" t="e">
        <f>(#REF!+L33)/(J33-T33)</f>
        <v>#REF!</v>
      </c>
      <c r="BH33" s="6" t="e">
        <f t="shared" si="30"/>
        <v>#REF!</v>
      </c>
      <c r="BI33" s="73" t="e">
        <f t="shared" si="31"/>
        <v>#REF!</v>
      </c>
      <c r="BJ33" s="73" t="e">
        <f t="shared" si="32"/>
        <v>#REF!</v>
      </c>
      <c r="BK33" s="73" t="e">
        <f t="shared" si="33"/>
        <v>#REF!</v>
      </c>
      <c r="BL33" s="6" t="e">
        <f t="shared" si="34"/>
        <v>#REF!</v>
      </c>
    </row>
    <row r="34" spans="1:67" s="8" customFormat="1" x14ac:dyDescent="0.25">
      <c r="A34" s="87" t="s">
        <v>100</v>
      </c>
      <c r="B34" s="88">
        <v>0</v>
      </c>
      <c r="C34" s="88">
        <v>8462.3593099999998</v>
      </c>
      <c r="D34" s="88">
        <v>0</v>
      </c>
      <c r="E34" s="89">
        <f>IF(AND(B34=0,D34=0),0,B34/(IF(C34&gt;0,C34,0)+D34))</f>
        <v>0</v>
      </c>
      <c r="F34" s="90"/>
      <c r="G34" s="91">
        <f>IF(E34&lt;=1.05,1,0)</f>
        <v>1</v>
      </c>
      <c r="H34" s="92">
        <f>F34+G34</f>
        <v>1</v>
      </c>
      <c r="I34" s="88">
        <v>0</v>
      </c>
      <c r="J34" s="93">
        <v>331742.74308999995</v>
      </c>
      <c r="K34" s="94">
        <v>219909.70965</v>
      </c>
      <c r="L34" s="88">
        <v>46491.885650000004</v>
      </c>
      <c r="M34" s="88">
        <v>0</v>
      </c>
      <c r="N34" s="89">
        <f>(I34-M34)/(J34-K34-L34)</f>
        <v>0</v>
      </c>
      <c r="O34" s="90"/>
      <c r="P34" s="91">
        <f>IF(N34&lt;=0.5,1,0)</f>
        <v>1</v>
      </c>
      <c r="Q34" s="92">
        <f>O34+P34</f>
        <v>1</v>
      </c>
      <c r="R34" s="104">
        <v>0</v>
      </c>
      <c r="S34" s="88">
        <v>346123.44639999996</v>
      </c>
      <c r="T34" s="94">
        <v>136655.24834999998</v>
      </c>
      <c r="U34" s="89">
        <f>R34/(S34-T34)</f>
        <v>0</v>
      </c>
      <c r="V34" s="90"/>
      <c r="W34" s="91">
        <f>IF(U34&lt;=0.15,1,0)</f>
        <v>1</v>
      </c>
      <c r="X34" s="92">
        <f>V34+W34</f>
        <v>1</v>
      </c>
      <c r="Y34" s="88">
        <f t="shared" si="17"/>
        <v>8462.3593099999998</v>
      </c>
      <c r="Z34" s="96"/>
      <c r="AA34" s="96">
        <v>8462359.3100000005</v>
      </c>
      <c r="AB34" s="96"/>
      <c r="AC34" s="96">
        <f>J34</f>
        <v>331742.74308999995</v>
      </c>
      <c r="AD34" s="96">
        <f>K34</f>
        <v>219909.70965</v>
      </c>
      <c r="AE34" s="96">
        <f>L34</f>
        <v>46491.885650000004</v>
      </c>
      <c r="AF34" s="96">
        <f>AC34-AD34-AE34</f>
        <v>65341.147789999937</v>
      </c>
      <c r="AG34" s="96">
        <f>AF34*5%</f>
        <v>3267.057389499997</v>
      </c>
      <c r="AH34" s="96">
        <f>IF(AA34&gt;0,AA34,0)+AG34+IF(AB34&gt;0,AB34,0)</f>
        <v>8465626.3673895001</v>
      </c>
      <c r="AI34" s="97">
        <f>IF((Y34-IF(Z34&gt;0,Z34,0)-IF(AA34&gt;0,AA34,0)-IF(AB34&gt;0,AB34,0))/(AC34-AD34-AE34)&gt;0,(Y34-IF(Z34&gt;0,Z34,0)-IF(AA34&gt;0,AA34,0)-IF(AB34&gt;0,AB34,0))/(AC34-AD34-AE34),0)</f>
        <v>0</v>
      </c>
      <c r="AJ34" s="98"/>
      <c r="AK34" s="99">
        <f>IF(AI34&lt;=0.05,1.5,0)</f>
        <v>1.5</v>
      </c>
      <c r="AL34" s="92">
        <f>AJ34+AK34</f>
        <v>1.5</v>
      </c>
      <c r="AM34" s="100">
        <v>14256.6</v>
      </c>
      <c r="AN34" s="91">
        <v>15096.2</v>
      </c>
      <c r="AO34" s="101">
        <f>AM34/AN34</f>
        <v>0.9443833547515269</v>
      </c>
      <c r="AP34" s="98"/>
      <c r="AQ34" s="99">
        <f>IF(AO34&lt;=1,1,0)</f>
        <v>1</v>
      </c>
      <c r="AR34" s="102">
        <f>AP34+AQ34</f>
        <v>1</v>
      </c>
      <c r="AS34" s="100">
        <v>35413.4</v>
      </c>
      <c r="AT34" s="91">
        <v>37466.9</v>
      </c>
      <c r="AU34" s="97">
        <f>AS34/AT34</f>
        <v>0.94519162247210209</v>
      </c>
      <c r="AV34" s="98"/>
      <c r="AW34" s="99">
        <f>IF(AU34&lt;=1,1,0)</f>
        <v>1</v>
      </c>
      <c r="AX34" s="102">
        <f>AV34+AW34</f>
        <v>1</v>
      </c>
      <c r="AY34" s="103">
        <f t="shared" si="24"/>
        <v>6.5</v>
      </c>
      <c r="AZ34" s="72">
        <f t="shared" si="12"/>
        <v>0.66506747202283556</v>
      </c>
      <c r="BA34" s="6">
        <f t="shared" si="25"/>
        <v>0</v>
      </c>
      <c r="BB34" s="73">
        <f t="shared" si="26"/>
        <v>0</v>
      </c>
      <c r="BC34" s="73">
        <f t="shared" si="27"/>
        <v>1</v>
      </c>
      <c r="BD34" s="73">
        <f t="shared" si="28"/>
        <v>0</v>
      </c>
      <c r="BE34" s="6">
        <f t="shared" si="29"/>
        <v>0</v>
      </c>
      <c r="BG34" s="72" t="e">
        <f>(#REF!+L34)/(J34-T34)</f>
        <v>#REF!</v>
      </c>
      <c r="BH34" s="6" t="e">
        <f t="shared" si="30"/>
        <v>#REF!</v>
      </c>
      <c r="BI34" s="73" t="e">
        <f t="shared" si="31"/>
        <v>#REF!</v>
      </c>
      <c r="BJ34" s="73" t="e">
        <f t="shared" si="32"/>
        <v>#REF!</v>
      </c>
      <c r="BK34" s="73" t="e">
        <f t="shared" si="33"/>
        <v>#REF!</v>
      </c>
      <c r="BL34" s="6" t="e">
        <f t="shared" si="34"/>
        <v>#REF!</v>
      </c>
    </row>
    <row r="35" spans="1:67" s="8" customFormat="1" x14ac:dyDescent="0.25">
      <c r="A35" s="79" t="s">
        <v>101</v>
      </c>
      <c r="B35" s="50">
        <v>0</v>
      </c>
      <c r="C35" s="50">
        <v>68852.939050000001</v>
      </c>
      <c r="D35" s="50">
        <v>10000</v>
      </c>
      <c r="E35" s="58">
        <f t="shared" si="13"/>
        <v>0</v>
      </c>
      <c r="F35" s="75">
        <f>IF(E35&lt;=1.05,1,0)</f>
        <v>1</v>
      </c>
      <c r="G35" s="65"/>
      <c r="H35" s="66">
        <f t="shared" si="0"/>
        <v>1</v>
      </c>
      <c r="I35" s="50">
        <v>23972.775000000001</v>
      </c>
      <c r="J35" s="55">
        <v>857801.95671000006</v>
      </c>
      <c r="K35" s="56">
        <v>480342.90620999999</v>
      </c>
      <c r="L35" s="50">
        <v>99617.069800000012</v>
      </c>
      <c r="M35" s="50">
        <v>0</v>
      </c>
      <c r="N35" s="58">
        <f t="shared" si="15"/>
        <v>8.6282047585474891E-2</v>
      </c>
      <c r="O35" s="75">
        <f>IF(N35&lt;=1,1,0)</f>
        <v>1</v>
      </c>
      <c r="P35" s="65"/>
      <c r="Q35" s="66">
        <f t="shared" si="2"/>
        <v>1</v>
      </c>
      <c r="R35" s="76">
        <v>1879.2739999999999</v>
      </c>
      <c r="S35" s="50">
        <v>926654.89575999998</v>
      </c>
      <c r="T35" s="56">
        <v>275949.39619</v>
      </c>
      <c r="U35" s="58">
        <f t="shared" si="3"/>
        <v>2.888056119460899E-3</v>
      </c>
      <c r="V35" s="75">
        <f>IF(U35&lt;=0.15,1,0)</f>
        <v>1</v>
      </c>
      <c r="W35" s="65"/>
      <c r="X35" s="66">
        <f t="shared" si="16"/>
        <v>1</v>
      </c>
      <c r="Y35" s="50">
        <f t="shared" si="17"/>
        <v>68852.939050000001</v>
      </c>
      <c r="Z35" s="61"/>
      <c r="AA35" s="61">
        <v>78852939.049999997</v>
      </c>
      <c r="AB35" s="61"/>
      <c r="AC35" s="61">
        <f t="shared" si="5"/>
        <v>857801.95671000006</v>
      </c>
      <c r="AD35" s="61">
        <f t="shared" si="5"/>
        <v>480342.90620999999</v>
      </c>
      <c r="AE35" s="61">
        <f t="shared" si="5"/>
        <v>99617.069800000012</v>
      </c>
      <c r="AF35" s="61">
        <f t="shared" si="18"/>
        <v>277841.98070000007</v>
      </c>
      <c r="AG35" s="61">
        <f t="shared" si="43"/>
        <v>13892.099035000005</v>
      </c>
      <c r="AH35" s="61">
        <f t="shared" si="35"/>
        <v>78866831.149034992</v>
      </c>
      <c r="AI35" s="78">
        <f t="shared" si="8"/>
        <v>0</v>
      </c>
      <c r="AJ35" s="64">
        <f>IF(AI35&lt;=0.1,1.5,0)</f>
        <v>1.5</v>
      </c>
      <c r="AK35" s="80"/>
      <c r="AL35" s="66">
        <f t="shared" si="9"/>
        <v>1.5</v>
      </c>
      <c r="AM35" s="67">
        <v>29372.1</v>
      </c>
      <c r="AN35" s="65">
        <v>29838.799999999999</v>
      </c>
      <c r="AO35" s="77">
        <f t="shared" si="10"/>
        <v>0.98435929058809335</v>
      </c>
      <c r="AP35" s="64">
        <f>IF(AO35&lt;=1,1,0)</f>
        <v>1</v>
      </c>
      <c r="AQ35" s="80"/>
      <c r="AR35" s="81">
        <f t="shared" si="21"/>
        <v>1</v>
      </c>
      <c r="AS35" s="67">
        <v>64263.5</v>
      </c>
      <c r="AT35" s="65">
        <v>68219.8</v>
      </c>
      <c r="AU35" s="78">
        <f t="shared" si="22"/>
        <v>0.94200657287180556</v>
      </c>
      <c r="AV35" s="64">
        <f>IF(AU35&lt;=1,1,0)</f>
        <v>1</v>
      </c>
      <c r="AW35" s="80"/>
      <c r="AX35" s="81">
        <f t="shared" si="11"/>
        <v>1</v>
      </c>
      <c r="AY35" s="71">
        <f t="shared" si="24"/>
        <v>6.5</v>
      </c>
      <c r="AZ35" s="72">
        <f t="shared" si="12"/>
        <v>0.52248731112965552</v>
      </c>
      <c r="BA35" s="6">
        <f t="shared" si="25"/>
        <v>0</v>
      </c>
      <c r="BB35" s="73">
        <f t="shared" si="26"/>
        <v>0</v>
      </c>
      <c r="BC35" s="73">
        <f t="shared" si="27"/>
        <v>1</v>
      </c>
      <c r="BD35" s="73">
        <f t="shared" si="28"/>
        <v>0</v>
      </c>
      <c r="BE35" s="6">
        <f t="shared" si="29"/>
        <v>0</v>
      </c>
      <c r="BG35" s="72" t="e">
        <f>(#REF!+L35)/(J35-T35)</f>
        <v>#REF!</v>
      </c>
      <c r="BH35" s="6" t="e">
        <f t="shared" si="30"/>
        <v>#REF!</v>
      </c>
      <c r="BI35" s="73" t="e">
        <f t="shared" si="31"/>
        <v>#REF!</v>
      </c>
      <c r="BJ35" s="73" t="e">
        <f t="shared" si="32"/>
        <v>#REF!</v>
      </c>
      <c r="BK35" s="73" t="e">
        <f t="shared" si="33"/>
        <v>#REF!</v>
      </c>
      <c r="BL35" s="6" t="e">
        <f t="shared" si="34"/>
        <v>#REF!</v>
      </c>
    </row>
    <row r="36" spans="1:67" s="8" customFormat="1" x14ac:dyDescent="0.25">
      <c r="A36" s="87" t="s">
        <v>102</v>
      </c>
      <c r="B36" s="88">
        <v>0</v>
      </c>
      <c r="C36" s="88">
        <v>10070.83201</v>
      </c>
      <c r="D36" s="88">
        <v>0</v>
      </c>
      <c r="E36" s="89">
        <f t="shared" si="13"/>
        <v>0</v>
      </c>
      <c r="F36" s="90"/>
      <c r="G36" s="91">
        <f t="shared" si="36"/>
        <v>1</v>
      </c>
      <c r="H36" s="92">
        <f t="shared" si="0"/>
        <v>1</v>
      </c>
      <c r="I36" s="88">
        <v>0</v>
      </c>
      <c r="J36" s="93">
        <v>424913.13376</v>
      </c>
      <c r="K36" s="94">
        <v>310384.78375999996</v>
      </c>
      <c r="L36" s="88">
        <v>70995.247620000009</v>
      </c>
      <c r="M36" s="88">
        <v>0</v>
      </c>
      <c r="N36" s="89">
        <f t="shared" si="15"/>
        <v>0</v>
      </c>
      <c r="O36" s="90"/>
      <c r="P36" s="91">
        <f t="shared" si="37"/>
        <v>1</v>
      </c>
      <c r="Q36" s="92">
        <f t="shared" si="2"/>
        <v>1</v>
      </c>
      <c r="R36" s="104">
        <v>0</v>
      </c>
      <c r="S36" s="88">
        <v>434983.96577000001</v>
      </c>
      <c r="T36" s="94">
        <v>144039.77356999999</v>
      </c>
      <c r="U36" s="89">
        <f t="shared" si="3"/>
        <v>0</v>
      </c>
      <c r="V36" s="90"/>
      <c r="W36" s="91">
        <f t="shared" si="38"/>
        <v>1</v>
      </c>
      <c r="X36" s="92">
        <f t="shared" si="16"/>
        <v>1</v>
      </c>
      <c r="Y36" s="88">
        <f t="shared" si="17"/>
        <v>10070.83201</v>
      </c>
      <c r="Z36" s="96"/>
      <c r="AA36" s="96">
        <v>10070832.01</v>
      </c>
      <c r="AB36" s="96"/>
      <c r="AC36" s="96">
        <f t="shared" si="5"/>
        <v>424913.13376</v>
      </c>
      <c r="AD36" s="96">
        <f t="shared" si="5"/>
        <v>310384.78375999996</v>
      </c>
      <c r="AE36" s="96">
        <f t="shared" si="5"/>
        <v>70995.247620000009</v>
      </c>
      <c r="AF36" s="96">
        <f t="shared" si="18"/>
        <v>43533.102380000026</v>
      </c>
      <c r="AG36" s="96">
        <f t="shared" si="43"/>
        <v>2176.6551190000014</v>
      </c>
      <c r="AH36" s="96">
        <f t="shared" si="35"/>
        <v>10073008.665119</v>
      </c>
      <c r="AI36" s="97">
        <f t="shared" si="8"/>
        <v>0</v>
      </c>
      <c r="AJ36" s="90"/>
      <c r="AK36" s="99">
        <f>IF(AI36&lt;=0.05,1.5,0)</f>
        <v>1.5</v>
      </c>
      <c r="AL36" s="92">
        <f t="shared" si="9"/>
        <v>1.5</v>
      </c>
      <c r="AM36" s="100">
        <v>13111.6</v>
      </c>
      <c r="AN36" s="91">
        <v>15096.2</v>
      </c>
      <c r="AO36" s="101">
        <f t="shared" si="10"/>
        <v>0.86853645288218229</v>
      </c>
      <c r="AP36" s="90"/>
      <c r="AQ36" s="99">
        <f>IF(AO36&lt;=1,1,0)</f>
        <v>1</v>
      </c>
      <c r="AR36" s="102">
        <f t="shared" si="21"/>
        <v>1</v>
      </c>
      <c r="AS36" s="100">
        <v>36600.300000000003</v>
      </c>
      <c r="AT36" s="91">
        <v>37466.9</v>
      </c>
      <c r="AU36" s="97">
        <f t="shared" si="22"/>
        <v>0.97687025080804657</v>
      </c>
      <c r="AV36" s="90"/>
      <c r="AW36" s="99">
        <f>IF(AU36&lt;=1,1,0)</f>
        <v>1</v>
      </c>
      <c r="AX36" s="102">
        <f t="shared" si="11"/>
        <v>1</v>
      </c>
      <c r="AY36" s="103">
        <f t="shared" si="24"/>
        <v>6.5</v>
      </c>
      <c r="AZ36" s="72">
        <f t="shared" si="12"/>
        <v>0.84500807641368481</v>
      </c>
      <c r="BA36" s="6">
        <f t="shared" si="25"/>
        <v>0</v>
      </c>
      <c r="BB36" s="73">
        <f t="shared" si="26"/>
        <v>0</v>
      </c>
      <c r="BC36" s="73">
        <f t="shared" si="27"/>
        <v>0</v>
      </c>
      <c r="BD36" s="73">
        <f t="shared" si="28"/>
        <v>1</v>
      </c>
      <c r="BE36" s="6">
        <f t="shared" si="29"/>
        <v>0</v>
      </c>
      <c r="BG36" s="72" t="e">
        <f>(#REF!+L36)/(J36-T36)</f>
        <v>#REF!</v>
      </c>
      <c r="BH36" s="6" t="e">
        <f t="shared" si="30"/>
        <v>#REF!</v>
      </c>
      <c r="BI36" s="73" t="e">
        <f t="shared" si="31"/>
        <v>#REF!</v>
      </c>
      <c r="BJ36" s="73" t="e">
        <f t="shared" si="32"/>
        <v>#REF!</v>
      </c>
      <c r="BK36" s="73" t="e">
        <f t="shared" si="33"/>
        <v>#REF!</v>
      </c>
      <c r="BL36" s="6" t="e">
        <f t="shared" si="34"/>
        <v>#REF!</v>
      </c>
    </row>
    <row r="37" spans="1:67" s="8" customFormat="1" x14ac:dyDescent="0.25">
      <c r="A37" s="79" t="s">
        <v>103</v>
      </c>
      <c r="B37" s="50">
        <v>0</v>
      </c>
      <c r="C37" s="50">
        <v>7335.3697499999998</v>
      </c>
      <c r="D37" s="50">
        <v>0</v>
      </c>
      <c r="E37" s="58">
        <f t="shared" si="13"/>
        <v>0</v>
      </c>
      <c r="F37" s="75">
        <f>IF(E37&lt;=1.05,1,0)</f>
        <v>1</v>
      </c>
      <c r="G37" s="65"/>
      <c r="H37" s="66">
        <f t="shared" si="0"/>
        <v>1</v>
      </c>
      <c r="I37" s="50">
        <v>0</v>
      </c>
      <c r="J37" s="55">
        <v>438854.80870999995</v>
      </c>
      <c r="K37" s="56">
        <v>311549.80870999995</v>
      </c>
      <c r="L37" s="50">
        <v>81189.575185882364</v>
      </c>
      <c r="M37" s="50">
        <v>0</v>
      </c>
      <c r="N37" s="58">
        <f t="shared" si="15"/>
        <v>0</v>
      </c>
      <c r="O37" s="75">
        <f>IF(N37&lt;=1,1,0)</f>
        <v>1</v>
      </c>
      <c r="P37" s="65"/>
      <c r="Q37" s="66">
        <f t="shared" si="2"/>
        <v>1</v>
      </c>
      <c r="R37" s="76">
        <v>0</v>
      </c>
      <c r="S37" s="50">
        <v>446190.17845999997</v>
      </c>
      <c r="T37" s="56">
        <v>216874.48856</v>
      </c>
      <c r="U37" s="58">
        <f t="shared" si="3"/>
        <v>0</v>
      </c>
      <c r="V37" s="75">
        <f>IF(U37&lt;=0.15,1,0)</f>
        <v>1</v>
      </c>
      <c r="W37" s="65"/>
      <c r="X37" s="66">
        <f t="shared" si="16"/>
        <v>1</v>
      </c>
      <c r="Y37" s="50">
        <f t="shared" si="17"/>
        <v>7335.3697499999998</v>
      </c>
      <c r="Z37" s="61"/>
      <c r="AA37" s="61">
        <v>7335369.75</v>
      </c>
      <c r="AB37" s="61"/>
      <c r="AC37" s="61">
        <f t="shared" si="5"/>
        <v>438854.80870999995</v>
      </c>
      <c r="AD37" s="61">
        <f t="shared" si="5"/>
        <v>311549.80870999995</v>
      </c>
      <c r="AE37" s="61">
        <f t="shared" si="5"/>
        <v>81189.575185882364</v>
      </c>
      <c r="AF37" s="61">
        <f t="shared" si="18"/>
        <v>46115.424814117636</v>
      </c>
      <c r="AG37" s="61">
        <f t="shared" si="43"/>
        <v>2305.7712407058821</v>
      </c>
      <c r="AH37" s="61">
        <f t="shared" si="35"/>
        <v>7337675.5212407056</v>
      </c>
      <c r="AI37" s="78">
        <f t="shared" si="8"/>
        <v>0</v>
      </c>
      <c r="AJ37" s="64">
        <f>IF(AI37&lt;=0.1,1.5,0)</f>
        <v>1.5</v>
      </c>
      <c r="AK37" s="80"/>
      <c r="AL37" s="66">
        <f t="shared" si="9"/>
        <v>1.5</v>
      </c>
      <c r="AM37" s="67">
        <v>14403.3</v>
      </c>
      <c r="AN37" s="65">
        <v>17840.7</v>
      </c>
      <c r="AO37" s="77">
        <f t="shared" si="10"/>
        <v>0.80732818779532189</v>
      </c>
      <c r="AP37" s="64">
        <f>IF(AO37&lt;=1,1,0)</f>
        <v>1</v>
      </c>
      <c r="AQ37" s="80"/>
      <c r="AR37" s="81">
        <f t="shared" si="21"/>
        <v>1</v>
      </c>
      <c r="AS37" s="67">
        <v>40838.300000000003</v>
      </c>
      <c r="AT37" s="65">
        <v>42505.2</v>
      </c>
      <c r="AU37" s="78">
        <f t="shared" si="22"/>
        <v>0.96078362176863075</v>
      </c>
      <c r="AV37" s="64">
        <f>IF(AU37&lt;=1,1,0)</f>
        <v>1</v>
      </c>
      <c r="AW37" s="80"/>
      <c r="AX37" s="81">
        <f t="shared" si="11"/>
        <v>1</v>
      </c>
      <c r="AY37" s="71">
        <f t="shared" si="24"/>
        <v>6.5</v>
      </c>
      <c r="AZ37" s="72">
        <f t="shared" si="12"/>
        <v>0.79225444497532105</v>
      </c>
      <c r="BA37" s="6">
        <f t="shared" si="25"/>
        <v>0</v>
      </c>
      <c r="BB37" s="73">
        <f t="shared" si="26"/>
        <v>0</v>
      </c>
      <c r="BC37" s="73">
        <f t="shared" si="27"/>
        <v>0</v>
      </c>
      <c r="BD37" s="73">
        <f t="shared" si="28"/>
        <v>1</v>
      </c>
      <c r="BE37" s="6">
        <f t="shared" si="29"/>
        <v>0</v>
      </c>
      <c r="BG37" s="72" t="e">
        <f>(#REF!+L37)/(J37-T37)</f>
        <v>#REF!</v>
      </c>
      <c r="BH37" s="6" t="e">
        <f t="shared" si="30"/>
        <v>#REF!</v>
      </c>
      <c r="BI37" s="73" t="e">
        <f t="shared" si="31"/>
        <v>#REF!</v>
      </c>
      <c r="BJ37" s="73" t="e">
        <f t="shared" si="32"/>
        <v>#REF!</v>
      </c>
      <c r="BK37" s="73" t="e">
        <f t="shared" si="33"/>
        <v>#REF!</v>
      </c>
      <c r="BL37" s="6" t="e">
        <f t="shared" si="34"/>
        <v>#REF!</v>
      </c>
    </row>
    <row r="38" spans="1:67" x14ac:dyDescent="0.25">
      <c r="A38" s="87" t="s">
        <v>104</v>
      </c>
      <c r="B38" s="88">
        <v>4000</v>
      </c>
      <c r="C38" s="88">
        <v>5127.1658200000002</v>
      </c>
      <c r="D38" s="88">
        <v>4000</v>
      </c>
      <c r="E38" s="89">
        <f t="shared" si="13"/>
        <v>0.43825214517686939</v>
      </c>
      <c r="F38" s="90"/>
      <c r="G38" s="91">
        <f t="shared" si="36"/>
        <v>1</v>
      </c>
      <c r="H38" s="92">
        <f>F38+G38</f>
        <v>1</v>
      </c>
      <c r="I38" s="88">
        <v>3500</v>
      </c>
      <c r="J38" s="93">
        <v>613049.92871000001</v>
      </c>
      <c r="K38" s="94">
        <v>468208.20370999997</v>
      </c>
      <c r="L38" s="88">
        <v>76984.340830000001</v>
      </c>
      <c r="M38" s="88">
        <v>0</v>
      </c>
      <c r="N38" s="89">
        <f t="shared" si="15"/>
        <v>5.1578763944563621E-2</v>
      </c>
      <c r="O38" s="90"/>
      <c r="P38" s="91">
        <f t="shared" si="37"/>
        <v>1</v>
      </c>
      <c r="Q38" s="92">
        <f>O38+P38</f>
        <v>1</v>
      </c>
      <c r="R38" s="104">
        <v>275.57390999999996</v>
      </c>
      <c r="S38" s="88">
        <v>618262.69588000001</v>
      </c>
      <c r="T38" s="94">
        <v>208972.86688999998</v>
      </c>
      <c r="U38" s="89">
        <f t="shared" si="3"/>
        <v>6.7329772322960143E-4</v>
      </c>
      <c r="V38" s="90"/>
      <c r="W38" s="91">
        <f t="shared" si="38"/>
        <v>1</v>
      </c>
      <c r="X38" s="92">
        <f t="shared" si="16"/>
        <v>1</v>
      </c>
      <c r="Y38" s="88">
        <f t="shared" si="17"/>
        <v>5127.1658200000002</v>
      </c>
      <c r="Z38" s="96"/>
      <c r="AA38" s="96">
        <v>5127165.82</v>
      </c>
      <c r="AB38" s="96"/>
      <c r="AC38" s="96">
        <f t="shared" si="5"/>
        <v>613049.92871000001</v>
      </c>
      <c r="AD38" s="96">
        <f t="shared" si="5"/>
        <v>468208.20370999997</v>
      </c>
      <c r="AE38" s="96">
        <f t="shared" si="5"/>
        <v>76984.340830000001</v>
      </c>
      <c r="AF38" s="96">
        <f t="shared" si="18"/>
        <v>67857.384170000034</v>
      </c>
      <c r="AG38" s="96">
        <f t="shared" si="43"/>
        <v>3392.8692085000021</v>
      </c>
      <c r="AH38" s="96">
        <f t="shared" si="35"/>
        <v>5130558.6892085001</v>
      </c>
      <c r="AI38" s="97">
        <f t="shared" si="8"/>
        <v>0</v>
      </c>
      <c r="AJ38" s="98"/>
      <c r="AK38" s="99">
        <f>IF(AI38&lt;=0.05,1.5,0)</f>
        <v>1.5</v>
      </c>
      <c r="AL38" s="92">
        <f t="shared" si="9"/>
        <v>1.5</v>
      </c>
      <c r="AM38" s="100">
        <v>18248.3</v>
      </c>
      <c r="AN38" s="91">
        <v>21499.3</v>
      </c>
      <c r="AO38" s="101">
        <f t="shared" si="10"/>
        <v>0.84878577442056258</v>
      </c>
      <c r="AP38" s="98"/>
      <c r="AQ38" s="99">
        <f>IF(AO38&lt;=1,1,0)</f>
        <v>1</v>
      </c>
      <c r="AR38" s="102">
        <f>AP38+AQ38</f>
        <v>1</v>
      </c>
      <c r="AS38" s="100">
        <v>38053.5</v>
      </c>
      <c r="AT38" s="91">
        <v>49346.9</v>
      </c>
      <c r="AU38" s="97">
        <f t="shared" si="22"/>
        <v>0.77114266549671806</v>
      </c>
      <c r="AV38" s="98"/>
      <c r="AW38" s="99">
        <f>IF(AU38&lt;=1,1,0)</f>
        <v>1</v>
      </c>
      <c r="AX38" s="102">
        <f t="shared" si="11"/>
        <v>1</v>
      </c>
      <c r="AY38" s="103">
        <f t="shared" si="24"/>
        <v>6.5</v>
      </c>
      <c r="AZ38" s="72">
        <f t="shared" si="12"/>
        <v>0.83206821029542177</v>
      </c>
      <c r="BA38" s="6">
        <f t="shared" si="25"/>
        <v>0</v>
      </c>
      <c r="BB38" s="73">
        <f t="shared" si="26"/>
        <v>0</v>
      </c>
      <c r="BC38" s="73">
        <f t="shared" si="27"/>
        <v>0</v>
      </c>
      <c r="BD38" s="73">
        <f t="shared" si="28"/>
        <v>1</v>
      </c>
      <c r="BE38" s="6">
        <f t="shared" si="29"/>
        <v>0</v>
      </c>
      <c r="BG38" s="72" t="e">
        <f>(#REF!+L38)/(J38-T38)</f>
        <v>#REF!</v>
      </c>
      <c r="BH38" s="6" t="e">
        <f t="shared" si="30"/>
        <v>#REF!</v>
      </c>
      <c r="BI38" s="73" t="e">
        <f t="shared" si="31"/>
        <v>#REF!</v>
      </c>
      <c r="BJ38" s="73" t="e">
        <f t="shared" si="32"/>
        <v>#REF!</v>
      </c>
      <c r="BK38" s="73" t="e">
        <f t="shared" si="33"/>
        <v>#REF!</v>
      </c>
      <c r="BL38" s="6" t="e">
        <f t="shared" si="34"/>
        <v>#REF!</v>
      </c>
    </row>
    <row r="39" spans="1:67" ht="13.8" thickBot="1" x14ac:dyDescent="0.3">
      <c r="A39" s="87" t="s">
        <v>105</v>
      </c>
      <c r="B39" s="88">
        <v>0</v>
      </c>
      <c r="C39" s="88">
        <v>30103.335239999997</v>
      </c>
      <c r="D39" s="88">
        <v>0</v>
      </c>
      <c r="E39" s="89">
        <f t="shared" si="13"/>
        <v>0</v>
      </c>
      <c r="F39" s="90"/>
      <c r="G39" s="91">
        <f>IF(E39&lt;=1.05,1,0)</f>
        <v>1</v>
      </c>
      <c r="H39" s="92">
        <f t="shared" si="0"/>
        <v>1</v>
      </c>
      <c r="I39" s="88">
        <v>0</v>
      </c>
      <c r="J39" s="93">
        <v>806942.46990999999</v>
      </c>
      <c r="K39" s="94">
        <v>549345.46990999999</v>
      </c>
      <c r="L39" s="88">
        <v>120370.43484999999</v>
      </c>
      <c r="M39" s="88">
        <v>0</v>
      </c>
      <c r="N39" s="89">
        <f t="shared" si="15"/>
        <v>0</v>
      </c>
      <c r="O39" s="90"/>
      <c r="P39" s="91">
        <f>IF(N39&lt;=0.5,1,0)</f>
        <v>1</v>
      </c>
      <c r="Q39" s="92">
        <f t="shared" si="2"/>
        <v>1</v>
      </c>
      <c r="R39" s="104">
        <v>0</v>
      </c>
      <c r="S39" s="88">
        <v>835327.84710000001</v>
      </c>
      <c r="T39" s="94">
        <v>300588.78920999996</v>
      </c>
      <c r="U39" s="89">
        <f t="shared" si="3"/>
        <v>0</v>
      </c>
      <c r="V39" s="90"/>
      <c r="W39" s="91">
        <f>IF(U39&lt;=0.15,1,0)</f>
        <v>1</v>
      </c>
      <c r="X39" s="92">
        <f t="shared" si="16"/>
        <v>1</v>
      </c>
      <c r="Y39" s="88">
        <f t="shared" si="17"/>
        <v>30103.335239999997</v>
      </c>
      <c r="Z39" s="96"/>
      <c r="AA39" s="96">
        <v>30103335.239999998</v>
      </c>
      <c r="AB39" s="96"/>
      <c r="AC39" s="96">
        <f t="shared" si="5"/>
        <v>806942.46990999999</v>
      </c>
      <c r="AD39" s="96">
        <f t="shared" si="5"/>
        <v>549345.46990999999</v>
      </c>
      <c r="AE39" s="96">
        <f t="shared" si="5"/>
        <v>120370.43484999999</v>
      </c>
      <c r="AF39" s="96">
        <f t="shared" si="18"/>
        <v>137226.56515000001</v>
      </c>
      <c r="AG39" s="96">
        <f>AF39*10%</f>
        <v>13722.656515000002</v>
      </c>
      <c r="AH39" s="96">
        <f t="shared" si="35"/>
        <v>30117057.896514997</v>
      </c>
      <c r="AI39" s="97">
        <f t="shared" si="8"/>
        <v>0</v>
      </c>
      <c r="AJ39" s="90"/>
      <c r="AK39" s="99">
        <f>IF(AI39&lt;=0.05,1.5,0)</f>
        <v>1.5</v>
      </c>
      <c r="AL39" s="92">
        <f t="shared" si="9"/>
        <v>1.5</v>
      </c>
      <c r="AM39" s="100">
        <v>19755.7</v>
      </c>
      <c r="AN39" s="91">
        <v>21499.3</v>
      </c>
      <c r="AO39" s="101">
        <f t="shared" si="10"/>
        <v>0.91889968510602682</v>
      </c>
      <c r="AP39" s="90"/>
      <c r="AQ39" s="99">
        <f>IF(AO39&lt;=1,1,0)</f>
        <v>1</v>
      </c>
      <c r="AR39" s="102">
        <f>AP39+AQ39</f>
        <v>1</v>
      </c>
      <c r="AS39" s="100">
        <v>45184.3</v>
      </c>
      <c r="AT39" s="91">
        <v>49346.9</v>
      </c>
      <c r="AU39" s="97">
        <f t="shared" si="22"/>
        <v>0.91564617027614703</v>
      </c>
      <c r="AV39" s="90"/>
      <c r="AW39" s="99">
        <f>IF(AU39&lt;=1,1,0)</f>
        <v>1</v>
      </c>
      <c r="AX39" s="102">
        <f t="shared" si="11"/>
        <v>1</v>
      </c>
      <c r="AY39" s="103">
        <f t="shared" si="24"/>
        <v>6.5</v>
      </c>
      <c r="AZ39" s="72">
        <f t="shared" si="12"/>
        <v>0.72899068303346093</v>
      </c>
      <c r="BA39" s="6">
        <f t="shared" si="25"/>
        <v>0</v>
      </c>
      <c r="BB39" s="73">
        <f t="shared" si="26"/>
        <v>0</v>
      </c>
      <c r="BC39" s="73">
        <f t="shared" si="27"/>
        <v>0</v>
      </c>
      <c r="BD39" s="73">
        <f t="shared" si="28"/>
        <v>1</v>
      </c>
      <c r="BE39" s="6">
        <f t="shared" si="29"/>
        <v>0</v>
      </c>
      <c r="BG39" s="72" t="e">
        <f>(#REF!+L39)/(J39-T39)</f>
        <v>#REF!</v>
      </c>
      <c r="BH39" s="6" t="e">
        <f t="shared" si="30"/>
        <v>#REF!</v>
      </c>
      <c r="BI39" s="73" t="e">
        <f t="shared" si="31"/>
        <v>#REF!</v>
      </c>
      <c r="BJ39" s="73" t="e">
        <f t="shared" si="32"/>
        <v>#REF!</v>
      </c>
      <c r="BK39" s="73" t="e">
        <f t="shared" si="33"/>
        <v>#REF!</v>
      </c>
      <c r="BL39" s="6" t="e">
        <f t="shared" si="34"/>
        <v>#REF!</v>
      </c>
    </row>
    <row r="40" spans="1:67" ht="14.4" thickTop="1" thickBot="1" x14ac:dyDescent="0.3">
      <c r="A40" s="107" t="s">
        <v>106</v>
      </c>
      <c r="B40" s="108">
        <f>SUM(B9:B39)</f>
        <v>2145908.1660000002</v>
      </c>
      <c r="C40" s="108">
        <f>SUM(C9:C39)</f>
        <v>795983.34553999978</v>
      </c>
      <c r="D40" s="108">
        <f>SUM(D9:D39)</f>
        <v>2081508.166</v>
      </c>
      <c r="E40" s="109"/>
      <c r="F40" s="109"/>
      <c r="G40" s="109"/>
      <c r="H40" s="110"/>
      <c r="I40" s="111">
        <f>SUM(I9:I39)</f>
        <v>2769621.6586099998</v>
      </c>
      <c r="J40" s="111">
        <f>SUM(J9:J39)</f>
        <v>30249340.477610003</v>
      </c>
      <c r="K40" s="111">
        <f>SUM(K9:K39)</f>
        <v>21979518.979899995</v>
      </c>
      <c r="L40" s="111">
        <f>SUM(L9:L39)</f>
        <v>2688958.4412819743</v>
      </c>
      <c r="M40" s="109">
        <f>SUM(M9:M39)</f>
        <v>0</v>
      </c>
      <c r="N40" s="109"/>
      <c r="O40" s="109"/>
      <c r="P40" s="109"/>
      <c r="Q40" s="110"/>
      <c r="R40" s="112">
        <f>SUM(R9:R39)</f>
        <v>175039.51238000003</v>
      </c>
      <c r="S40" s="111">
        <f>SUM(S9:S39)</f>
        <v>31257666.070829999</v>
      </c>
      <c r="T40" s="111">
        <f>SUM(T9:T39)</f>
        <v>9948911.3205600008</v>
      </c>
      <c r="U40" s="109"/>
      <c r="V40" s="109"/>
      <c r="W40" s="109"/>
      <c r="X40" s="110"/>
      <c r="Y40" s="113">
        <f t="shared" ref="Y40:AE40" si="44">SUM(Y9:Y39)</f>
        <v>795983.34553999978</v>
      </c>
      <c r="Z40" s="112">
        <f t="shared" si="44"/>
        <v>0</v>
      </c>
      <c r="AA40" s="112">
        <f t="shared" si="44"/>
        <v>731583345.53999996</v>
      </c>
      <c r="AB40" s="112">
        <f t="shared" si="44"/>
        <v>0</v>
      </c>
      <c r="AC40" s="112">
        <f t="shared" si="44"/>
        <v>30249340.477610003</v>
      </c>
      <c r="AD40" s="112">
        <f t="shared" si="44"/>
        <v>21979518.979899995</v>
      </c>
      <c r="AE40" s="112">
        <f t="shared" si="44"/>
        <v>2688958.4412819743</v>
      </c>
      <c r="AF40" s="114"/>
      <c r="AG40" s="114"/>
      <c r="AH40" s="114"/>
      <c r="AI40" s="109"/>
      <c r="AJ40" s="109"/>
      <c r="AK40" s="109"/>
      <c r="AL40" s="109"/>
      <c r="AM40" s="112">
        <f>SUM(AM9:AM39)</f>
        <v>816075.70000000007</v>
      </c>
      <c r="AN40" s="112">
        <f>SUM(AN9:AN39)</f>
        <v>891438.79999999981</v>
      </c>
      <c r="AO40" s="109"/>
      <c r="AP40" s="109"/>
      <c r="AQ40" s="109"/>
      <c r="AR40" s="109"/>
      <c r="AS40" s="112">
        <f>SUM(AS9:AS39)</f>
        <v>1817071.6999999997</v>
      </c>
      <c r="AT40" s="112">
        <f>SUM(AT9:AT39)</f>
        <v>1955638.4999999988</v>
      </c>
      <c r="AU40" s="109"/>
      <c r="AV40" s="109"/>
      <c r="AW40" s="109"/>
      <c r="AX40" s="109"/>
      <c r="AY40" s="115"/>
      <c r="AZ40" s="116"/>
      <c r="BA40" s="117">
        <f>SUM(BA9:BA39)</f>
        <v>0</v>
      </c>
      <c r="BB40" s="117">
        <f>SUM(BB9:BB39)</f>
        <v>0</v>
      </c>
      <c r="BC40" s="117">
        <f>SUM(BC9:BC39)</f>
        <v>3</v>
      </c>
      <c r="BD40" s="117">
        <f>SUM(BD9:BD39)</f>
        <v>26</v>
      </c>
      <c r="BE40" s="117">
        <f>SUM(BE9:BE39)</f>
        <v>2</v>
      </c>
      <c r="BG40" s="116"/>
      <c r="BH40" s="117" t="e">
        <f>SUM(BH9:BH39)</f>
        <v>#REF!</v>
      </c>
      <c r="BI40" s="117" t="e">
        <f>SUM(BI9:BI39)</f>
        <v>#REF!</v>
      </c>
      <c r="BJ40" s="117" t="e">
        <f>SUM(BJ9:BJ39)</f>
        <v>#REF!</v>
      </c>
      <c r="BK40" s="117" t="e">
        <f>SUM(BK9:BK39)</f>
        <v>#REF!</v>
      </c>
      <c r="BL40" s="117" t="e">
        <f>SUM(BL9:BL39)</f>
        <v>#REF!</v>
      </c>
    </row>
    <row r="41" spans="1:67" ht="13.8" thickTop="1" x14ac:dyDescent="0.25">
      <c r="BA41" s="1"/>
      <c r="BC41" s="6" t="s">
        <v>107</v>
      </c>
      <c r="BD41" s="6" t="e">
        <f>BD9+BD10+BD11+BD12+BD13+#REF!</f>
        <v>#REF!</v>
      </c>
      <c r="BE41" s="6" t="e">
        <f>BE9+BE10+BE11+BE12+BE13+#REF!</f>
        <v>#REF!</v>
      </c>
      <c r="BF41" s="6" t="e">
        <f>BF9+BF10+BF11+BF12+BF13+#REF!</f>
        <v>#REF!</v>
      </c>
      <c r="BG41" s="6" t="e">
        <f>BG9+BG10+BG11+BG12+BG13+#REF!</f>
        <v>#REF!</v>
      </c>
      <c r="BH41" s="6" t="e">
        <f>BH9+BH10+BH11+BH12+BH13+#REF!</f>
        <v>#REF!</v>
      </c>
      <c r="BJ41" s="6" t="s">
        <v>107</v>
      </c>
      <c r="BK41" s="6" t="e">
        <f>BK9+BK10+BK11+BK12+BK13+#REF!</f>
        <v>#REF!</v>
      </c>
      <c r="BL41" s="6" t="e">
        <f>BL9+BL10+BL11+BL12+BL13+#REF!</f>
        <v>#REF!</v>
      </c>
      <c r="BM41" s="6" t="e">
        <f>BM9+BM10+BM11+BM12+BM13+#REF!</f>
        <v>#REF!</v>
      </c>
      <c r="BN41" s="6" t="e">
        <f>BN9+BN10+BN11+BN12+BN13+#REF!</f>
        <v>#REF!</v>
      </c>
      <c r="BO41" s="6" t="e">
        <f>BO9+BO10+BO11+BO12+BO13+#REF!</f>
        <v>#REF!</v>
      </c>
    </row>
    <row r="42" spans="1:67" x14ac:dyDescent="0.25">
      <c r="B42" s="118"/>
      <c r="C42" s="118"/>
      <c r="D42" s="118"/>
      <c r="L42" s="119"/>
      <c r="BC42" s="6" t="s">
        <v>108</v>
      </c>
      <c r="BD42" s="6" t="e">
        <f>BD40-BD41</f>
        <v>#REF!</v>
      </c>
      <c r="BE42" s="6" t="e">
        <f>BE40-BE41</f>
        <v>#REF!</v>
      </c>
      <c r="BF42" s="6" t="e">
        <f>BF40-BF41</f>
        <v>#REF!</v>
      </c>
      <c r="BG42" s="6" t="e">
        <f>BG40-BG41</f>
        <v>#REF!</v>
      </c>
      <c r="BH42" s="6" t="e">
        <f>BH40-BH41</f>
        <v>#REF!</v>
      </c>
      <c r="BJ42" s="6" t="s">
        <v>108</v>
      </c>
      <c r="BK42" s="6" t="e">
        <f>BK40-BK41</f>
        <v>#REF!</v>
      </c>
      <c r="BL42" s="6" t="e">
        <f>BL40-BL41</f>
        <v>#REF!</v>
      </c>
      <c r="BM42" s="6" t="e">
        <f>BM40-BM41</f>
        <v>#REF!</v>
      </c>
      <c r="BN42" s="6" t="e">
        <f>BN40-BN41</f>
        <v>#REF!</v>
      </c>
      <c r="BO42" s="6" t="e">
        <f>BO40-BO41</f>
        <v>#REF!</v>
      </c>
    </row>
    <row r="43" spans="1:67" x14ac:dyDescent="0.25">
      <c r="L43" s="120"/>
    </row>
  </sheetData>
  <mergeCells count="14">
    <mergeCell ref="B1:H2"/>
    <mergeCell ref="A3:A6"/>
    <mergeCell ref="B3:H3"/>
    <mergeCell ref="I3:Q3"/>
    <mergeCell ref="R3:X3"/>
    <mergeCell ref="AM3:AR3"/>
    <mergeCell ref="AS3:AX3"/>
    <mergeCell ref="B4:D4"/>
    <mergeCell ref="I4:K4"/>
    <mergeCell ref="R4:T4"/>
    <mergeCell ref="Y4:AA4"/>
    <mergeCell ref="AM4:AN4"/>
    <mergeCell ref="AS4:AT4"/>
    <mergeCell ref="Y3:AL3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3 кв.</vt:lpstr>
      <vt:lpstr>'за 3 кв.'!Заголовки_для_печати</vt:lpstr>
      <vt:lpstr>'за 3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2021-10-25T11:29:55Z</dcterms:created>
  <dcterms:modified xsi:type="dcterms:W3CDTF">2021-10-25T13:45:49Z</dcterms:modified>
</cp:coreProperties>
</file>