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120" windowWidth="24900" windowHeight="10335"/>
  </bookViews>
  <sheets>
    <sheet name="за 4 кв.(план)" sheetId="1" r:id="rId1"/>
  </sheets>
  <definedNames>
    <definedName name="_xlnm.Print_Titles" localSheetId="0">'за 4 кв.(план)'!$A:$A</definedName>
    <definedName name="_xlnm.Print_Area" localSheetId="0">'за 4 кв.(план)'!$A$1:$AY$41</definedName>
  </definedNames>
  <calcPr calcId="145621"/>
</workbook>
</file>

<file path=xl/calcChain.xml><?xml version="1.0" encoding="utf-8"?>
<calcChain xmlns="http://schemas.openxmlformats.org/spreadsheetml/2006/main">
  <c r="O44" i="1" l="1"/>
  <c r="P45" i="1" s="1"/>
  <c r="AT41" i="1"/>
  <c r="AS41" i="1"/>
  <c r="AN41" i="1"/>
  <c r="AM41" i="1"/>
  <c r="AB41" i="1"/>
  <c r="AA41" i="1"/>
  <c r="Z41" i="1"/>
  <c r="T41" i="1"/>
  <c r="S41" i="1"/>
  <c r="R41" i="1"/>
  <c r="M41" i="1"/>
  <c r="L41" i="1"/>
  <c r="L43" i="1" s="1"/>
  <c r="L44" i="1" s="1"/>
  <c r="K41" i="1"/>
  <c r="J41" i="1"/>
  <c r="I41" i="1"/>
  <c r="D41" i="1"/>
  <c r="C41" i="1"/>
  <c r="B41" i="1"/>
  <c r="AU40" i="1"/>
  <c r="AW40" i="1" s="1"/>
  <c r="AX40" i="1" s="1"/>
  <c r="AO40" i="1"/>
  <c r="AQ40" i="1" s="1"/>
  <c r="AR40" i="1" s="1"/>
  <c r="AE40" i="1"/>
  <c r="AD40" i="1"/>
  <c r="AC40" i="1"/>
  <c r="Y40" i="1"/>
  <c r="U40" i="1"/>
  <c r="W40" i="1" s="1"/>
  <c r="X40" i="1" s="1"/>
  <c r="N40" i="1"/>
  <c r="P40" i="1" s="1"/>
  <c r="Q40" i="1" s="1"/>
  <c r="E40" i="1"/>
  <c r="G40" i="1" s="1"/>
  <c r="H40" i="1" s="1"/>
  <c r="AU39" i="1"/>
  <c r="AW39" i="1" s="1"/>
  <c r="AX39" i="1" s="1"/>
  <c r="AO39" i="1"/>
  <c r="AQ39" i="1" s="1"/>
  <c r="AR39" i="1" s="1"/>
  <c r="AE39" i="1"/>
  <c r="AD39" i="1"/>
  <c r="AC39" i="1"/>
  <c r="Y39" i="1"/>
  <c r="U39" i="1"/>
  <c r="W39" i="1" s="1"/>
  <c r="X39" i="1" s="1"/>
  <c r="N39" i="1"/>
  <c r="P39" i="1" s="1"/>
  <c r="Q39" i="1" s="1"/>
  <c r="E39" i="1"/>
  <c r="G39" i="1" s="1"/>
  <c r="H39" i="1" s="1"/>
  <c r="AU38" i="1"/>
  <c r="AV38" i="1" s="1"/>
  <c r="AX38" i="1" s="1"/>
  <c r="AO38" i="1"/>
  <c r="AP38" i="1" s="1"/>
  <c r="AR38" i="1" s="1"/>
  <c r="AE38" i="1"/>
  <c r="AD38" i="1"/>
  <c r="AC38" i="1"/>
  <c r="Y38" i="1"/>
  <c r="U38" i="1"/>
  <c r="V38" i="1" s="1"/>
  <c r="X38" i="1" s="1"/>
  <c r="N38" i="1"/>
  <c r="O38" i="1" s="1"/>
  <c r="Q38" i="1" s="1"/>
  <c r="E38" i="1"/>
  <c r="F38" i="1" s="1"/>
  <c r="H38" i="1" s="1"/>
  <c r="AU37" i="1"/>
  <c r="AW37" i="1" s="1"/>
  <c r="AX37" i="1" s="1"/>
  <c r="AO37" i="1"/>
  <c r="AQ37" i="1" s="1"/>
  <c r="AR37" i="1" s="1"/>
  <c r="AE37" i="1"/>
  <c r="AD37" i="1"/>
  <c r="AC37" i="1"/>
  <c r="Y37" i="1"/>
  <c r="U37" i="1"/>
  <c r="W37" i="1" s="1"/>
  <c r="X37" i="1" s="1"/>
  <c r="N37" i="1"/>
  <c r="P37" i="1" s="1"/>
  <c r="Q37" i="1" s="1"/>
  <c r="E37" i="1"/>
  <c r="G37" i="1" s="1"/>
  <c r="H37" i="1" s="1"/>
  <c r="AU36" i="1"/>
  <c r="AV36" i="1" s="1"/>
  <c r="AX36" i="1" s="1"/>
  <c r="AO36" i="1"/>
  <c r="AP36" i="1" s="1"/>
  <c r="AR36" i="1" s="1"/>
  <c r="AE36" i="1"/>
  <c r="AD36" i="1"/>
  <c r="AC36" i="1"/>
  <c r="Y36" i="1"/>
  <c r="U36" i="1"/>
  <c r="V36" i="1" s="1"/>
  <c r="X36" i="1" s="1"/>
  <c r="N36" i="1"/>
  <c r="O36" i="1" s="1"/>
  <c r="Q36" i="1" s="1"/>
  <c r="E36" i="1"/>
  <c r="F36" i="1" s="1"/>
  <c r="H36" i="1" s="1"/>
  <c r="AU35" i="1"/>
  <c r="AW35" i="1" s="1"/>
  <c r="AX35" i="1" s="1"/>
  <c r="AO35" i="1"/>
  <c r="AQ35" i="1" s="1"/>
  <c r="AR35" i="1" s="1"/>
  <c r="AE35" i="1"/>
  <c r="AD35" i="1"/>
  <c r="AC35" i="1"/>
  <c r="Y35" i="1"/>
  <c r="U35" i="1"/>
  <c r="W35" i="1" s="1"/>
  <c r="X35" i="1" s="1"/>
  <c r="N35" i="1"/>
  <c r="P35" i="1" s="1"/>
  <c r="Q35" i="1" s="1"/>
  <c r="E35" i="1"/>
  <c r="G35" i="1" s="1"/>
  <c r="H35" i="1" s="1"/>
  <c r="AU34" i="1"/>
  <c r="AW34" i="1" s="1"/>
  <c r="AX34" i="1" s="1"/>
  <c r="AO34" i="1"/>
  <c r="AQ34" i="1" s="1"/>
  <c r="AR34" i="1" s="1"/>
  <c r="AE34" i="1"/>
  <c r="AD34" i="1"/>
  <c r="AC34" i="1"/>
  <c r="Y34" i="1"/>
  <c r="U34" i="1"/>
  <c r="W34" i="1" s="1"/>
  <c r="X34" i="1" s="1"/>
  <c r="N34" i="1"/>
  <c r="P34" i="1" s="1"/>
  <c r="Q34" i="1" s="1"/>
  <c r="E34" i="1"/>
  <c r="G34" i="1" s="1"/>
  <c r="H34" i="1" s="1"/>
  <c r="AU33" i="1"/>
  <c r="AW33" i="1" s="1"/>
  <c r="AX33" i="1" s="1"/>
  <c r="AO33" i="1"/>
  <c r="AQ33" i="1" s="1"/>
  <c r="AR33" i="1" s="1"/>
  <c r="AE33" i="1"/>
  <c r="AD33" i="1"/>
  <c r="AC33" i="1"/>
  <c r="Y33" i="1"/>
  <c r="U33" i="1"/>
  <c r="W33" i="1" s="1"/>
  <c r="X33" i="1" s="1"/>
  <c r="N33" i="1"/>
  <c r="P33" i="1" s="1"/>
  <c r="Q33" i="1" s="1"/>
  <c r="E33" i="1"/>
  <c r="G33" i="1" s="1"/>
  <c r="H33" i="1" s="1"/>
  <c r="AU32" i="1"/>
  <c r="AW32" i="1" s="1"/>
  <c r="AX32" i="1" s="1"/>
  <c r="AO32" i="1"/>
  <c r="AQ32" i="1" s="1"/>
  <c r="AR32" i="1" s="1"/>
  <c r="AE32" i="1"/>
  <c r="AD32" i="1"/>
  <c r="AC32" i="1"/>
  <c r="Y32" i="1"/>
  <c r="U32" i="1"/>
  <c r="W32" i="1" s="1"/>
  <c r="X32" i="1" s="1"/>
  <c r="N32" i="1"/>
  <c r="P32" i="1" s="1"/>
  <c r="Q32" i="1" s="1"/>
  <c r="E32" i="1"/>
  <c r="G32" i="1" s="1"/>
  <c r="H32" i="1" s="1"/>
  <c r="AU31" i="1"/>
  <c r="AW31" i="1" s="1"/>
  <c r="AX31" i="1" s="1"/>
  <c r="AO31" i="1"/>
  <c r="AQ31" i="1" s="1"/>
  <c r="AR31" i="1" s="1"/>
  <c r="AE31" i="1"/>
  <c r="AD31" i="1"/>
  <c r="AC31" i="1"/>
  <c r="Y31" i="1"/>
  <c r="U31" i="1"/>
  <c r="W31" i="1" s="1"/>
  <c r="X31" i="1" s="1"/>
  <c r="N31" i="1"/>
  <c r="P31" i="1" s="1"/>
  <c r="Q31" i="1" s="1"/>
  <c r="E31" i="1"/>
  <c r="G31" i="1" s="1"/>
  <c r="H31" i="1" s="1"/>
  <c r="AU30" i="1"/>
  <c r="AW30" i="1" s="1"/>
  <c r="AX30" i="1" s="1"/>
  <c r="AO30" i="1"/>
  <c r="AQ30" i="1" s="1"/>
  <c r="AR30" i="1" s="1"/>
  <c r="AE30" i="1"/>
  <c r="AD30" i="1"/>
  <c r="AC30" i="1"/>
  <c r="Y30" i="1"/>
  <c r="U30" i="1"/>
  <c r="W30" i="1" s="1"/>
  <c r="X30" i="1" s="1"/>
  <c r="N30" i="1"/>
  <c r="P30" i="1" s="1"/>
  <c r="Q30" i="1" s="1"/>
  <c r="E30" i="1"/>
  <c r="G30" i="1" s="1"/>
  <c r="H30" i="1" s="1"/>
  <c r="AU29" i="1"/>
  <c r="AW29" i="1" s="1"/>
  <c r="AX29" i="1" s="1"/>
  <c r="AO29" i="1"/>
  <c r="AQ29" i="1" s="1"/>
  <c r="AR29" i="1" s="1"/>
  <c r="AE29" i="1"/>
  <c r="AD29" i="1"/>
  <c r="AC29" i="1"/>
  <c r="Y29" i="1"/>
  <c r="U29" i="1"/>
  <c r="W29" i="1" s="1"/>
  <c r="X29" i="1" s="1"/>
  <c r="N29" i="1"/>
  <c r="P29" i="1" s="1"/>
  <c r="Q29" i="1" s="1"/>
  <c r="E29" i="1"/>
  <c r="G29" i="1" s="1"/>
  <c r="H29" i="1" s="1"/>
  <c r="AU28" i="1"/>
  <c r="AW28" i="1" s="1"/>
  <c r="AX28" i="1" s="1"/>
  <c r="AO28" i="1"/>
  <c r="AQ28" i="1" s="1"/>
  <c r="AR28" i="1" s="1"/>
  <c r="AE28" i="1"/>
  <c r="AD28" i="1"/>
  <c r="AC28" i="1"/>
  <c r="Y28" i="1"/>
  <c r="U28" i="1"/>
  <c r="W28" i="1" s="1"/>
  <c r="X28" i="1" s="1"/>
  <c r="N28" i="1"/>
  <c r="P28" i="1" s="1"/>
  <c r="Q28" i="1" s="1"/>
  <c r="E28" i="1"/>
  <c r="G28" i="1" s="1"/>
  <c r="H28" i="1" s="1"/>
  <c r="AU27" i="1"/>
  <c r="AW27" i="1" s="1"/>
  <c r="AX27" i="1" s="1"/>
  <c r="AO27" i="1"/>
  <c r="AQ27" i="1" s="1"/>
  <c r="AR27" i="1" s="1"/>
  <c r="AE27" i="1"/>
  <c r="AD27" i="1"/>
  <c r="AC27" i="1"/>
  <c r="Y27" i="1"/>
  <c r="U27" i="1"/>
  <c r="W27" i="1" s="1"/>
  <c r="X27" i="1" s="1"/>
  <c r="N27" i="1"/>
  <c r="P27" i="1" s="1"/>
  <c r="Q27" i="1" s="1"/>
  <c r="E27" i="1"/>
  <c r="G27" i="1" s="1"/>
  <c r="H27" i="1" s="1"/>
  <c r="AU26" i="1"/>
  <c r="AW26" i="1" s="1"/>
  <c r="AX26" i="1" s="1"/>
  <c r="AO26" i="1"/>
  <c r="AQ26" i="1" s="1"/>
  <c r="AR26" i="1" s="1"/>
  <c r="AE26" i="1"/>
  <c r="AD26" i="1"/>
  <c r="AC26" i="1"/>
  <c r="Y26" i="1"/>
  <c r="U26" i="1"/>
  <c r="W26" i="1" s="1"/>
  <c r="X26" i="1" s="1"/>
  <c r="N26" i="1"/>
  <c r="P26" i="1" s="1"/>
  <c r="Q26" i="1" s="1"/>
  <c r="E26" i="1"/>
  <c r="G26" i="1" s="1"/>
  <c r="H26" i="1" s="1"/>
  <c r="AU25" i="1"/>
  <c r="AW25" i="1" s="1"/>
  <c r="AX25" i="1" s="1"/>
  <c r="AO25" i="1"/>
  <c r="AQ25" i="1" s="1"/>
  <c r="AR25" i="1" s="1"/>
  <c r="AE25" i="1"/>
  <c r="AD25" i="1"/>
  <c r="AC25" i="1"/>
  <c r="Y25" i="1"/>
  <c r="U25" i="1"/>
  <c r="W25" i="1" s="1"/>
  <c r="X25" i="1" s="1"/>
  <c r="N25" i="1"/>
  <c r="P25" i="1" s="1"/>
  <c r="Q25" i="1" s="1"/>
  <c r="E25" i="1"/>
  <c r="G25" i="1" s="1"/>
  <c r="H25" i="1" s="1"/>
  <c r="AU24" i="1"/>
  <c r="AW24" i="1" s="1"/>
  <c r="AX24" i="1" s="1"/>
  <c r="AO24" i="1"/>
  <c r="AQ24" i="1" s="1"/>
  <c r="AR24" i="1" s="1"/>
  <c r="AE24" i="1"/>
  <c r="AD24" i="1"/>
  <c r="AC24" i="1"/>
  <c r="Y24" i="1"/>
  <c r="U24" i="1"/>
  <c r="W24" i="1" s="1"/>
  <c r="X24" i="1" s="1"/>
  <c r="N24" i="1"/>
  <c r="P24" i="1" s="1"/>
  <c r="Q24" i="1" s="1"/>
  <c r="E24" i="1"/>
  <c r="G24" i="1" s="1"/>
  <c r="H24" i="1" s="1"/>
  <c r="AU23" i="1"/>
  <c r="AW23" i="1" s="1"/>
  <c r="AX23" i="1" s="1"/>
  <c r="AO23" i="1"/>
  <c r="AQ23" i="1" s="1"/>
  <c r="AR23" i="1" s="1"/>
  <c r="AE23" i="1"/>
  <c r="AD23" i="1"/>
  <c r="AC23" i="1"/>
  <c r="Y23" i="1"/>
  <c r="U23" i="1"/>
  <c r="W23" i="1" s="1"/>
  <c r="X23" i="1" s="1"/>
  <c r="N23" i="1"/>
  <c r="P23" i="1" s="1"/>
  <c r="Q23" i="1" s="1"/>
  <c r="E23" i="1"/>
  <c r="G23" i="1" s="1"/>
  <c r="H23" i="1" s="1"/>
  <c r="AU22" i="1"/>
  <c r="AW22" i="1" s="1"/>
  <c r="AX22" i="1" s="1"/>
  <c r="AO22" i="1"/>
  <c r="AQ22" i="1" s="1"/>
  <c r="AR22" i="1" s="1"/>
  <c r="AE22" i="1"/>
  <c r="AD22" i="1"/>
  <c r="AC22" i="1"/>
  <c r="Y22" i="1"/>
  <c r="U22" i="1"/>
  <c r="W22" i="1" s="1"/>
  <c r="X22" i="1" s="1"/>
  <c r="N22" i="1"/>
  <c r="P22" i="1" s="1"/>
  <c r="Q22" i="1" s="1"/>
  <c r="E22" i="1"/>
  <c r="G22" i="1" s="1"/>
  <c r="H22" i="1" s="1"/>
  <c r="AU21" i="1"/>
  <c r="AW21" i="1" s="1"/>
  <c r="AX21" i="1" s="1"/>
  <c r="AO21" i="1"/>
  <c r="AQ21" i="1" s="1"/>
  <c r="AR21" i="1" s="1"/>
  <c r="AE21" i="1"/>
  <c r="AD21" i="1"/>
  <c r="AC21" i="1"/>
  <c r="Y21" i="1"/>
  <c r="U21" i="1"/>
  <c r="W21" i="1" s="1"/>
  <c r="X21" i="1" s="1"/>
  <c r="N21" i="1"/>
  <c r="P21" i="1" s="1"/>
  <c r="Q21" i="1" s="1"/>
  <c r="E21" i="1"/>
  <c r="G21" i="1" s="1"/>
  <c r="H21" i="1" s="1"/>
  <c r="AU20" i="1"/>
  <c r="AW20" i="1" s="1"/>
  <c r="AX20" i="1" s="1"/>
  <c r="AO20" i="1"/>
  <c r="AQ20" i="1" s="1"/>
  <c r="AR20" i="1" s="1"/>
  <c r="AE20" i="1"/>
  <c r="AD20" i="1"/>
  <c r="AC20" i="1"/>
  <c r="Y20" i="1"/>
  <c r="U20" i="1"/>
  <c r="W20" i="1" s="1"/>
  <c r="X20" i="1" s="1"/>
  <c r="N20" i="1"/>
  <c r="P20" i="1" s="1"/>
  <c r="Q20" i="1" s="1"/>
  <c r="E20" i="1"/>
  <c r="G20" i="1" s="1"/>
  <c r="H20" i="1" s="1"/>
  <c r="AU19" i="1"/>
  <c r="AW19" i="1" s="1"/>
  <c r="AX19" i="1" s="1"/>
  <c r="AO19" i="1"/>
  <c r="AQ19" i="1" s="1"/>
  <c r="AR19" i="1" s="1"/>
  <c r="AE19" i="1"/>
  <c r="AD19" i="1"/>
  <c r="AC19" i="1"/>
  <c r="Y19" i="1"/>
  <c r="U19" i="1"/>
  <c r="W19" i="1" s="1"/>
  <c r="X19" i="1" s="1"/>
  <c r="N19" i="1"/>
  <c r="P19" i="1" s="1"/>
  <c r="Q19" i="1" s="1"/>
  <c r="E19" i="1"/>
  <c r="G19" i="1" s="1"/>
  <c r="H19" i="1" s="1"/>
  <c r="AU18" i="1"/>
  <c r="AW18" i="1" s="1"/>
  <c r="AX18" i="1" s="1"/>
  <c r="AO18" i="1"/>
  <c r="AQ18" i="1" s="1"/>
  <c r="AR18" i="1" s="1"/>
  <c r="AE18" i="1"/>
  <c r="AD18" i="1"/>
  <c r="AC18" i="1"/>
  <c r="Y18" i="1"/>
  <c r="U18" i="1"/>
  <c r="W18" i="1" s="1"/>
  <c r="X18" i="1" s="1"/>
  <c r="N18" i="1"/>
  <c r="P18" i="1" s="1"/>
  <c r="Q18" i="1" s="1"/>
  <c r="E18" i="1"/>
  <c r="G18" i="1" s="1"/>
  <c r="H18" i="1" s="1"/>
  <c r="AU17" i="1"/>
  <c r="AV17" i="1" s="1"/>
  <c r="AX17" i="1" s="1"/>
  <c r="AO17" i="1"/>
  <c r="AP17" i="1" s="1"/>
  <c r="AR17" i="1" s="1"/>
  <c r="AE17" i="1"/>
  <c r="AD17" i="1"/>
  <c r="AC17" i="1"/>
  <c r="Y17" i="1"/>
  <c r="U17" i="1"/>
  <c r="V17" i="1" s="1"/>
  <c r="X17" i="1" s="1"/>
  <c r="N17" i="1"/>
  <c r="O17" i="1" s="1"/>
  <c r="Q17" i="1" s="1"/>
  <c r="E17" i="1"/>
  <c r="F17" i="1" s="1"/>
  <c r="H17" i="1" s="1"/>
  <c r="AU16" i="1"/>
  <c r="AV16" i="1" s="1"/>
  <c r="AX16" i="1" s="1"/>
  <c r="AO16" i="1"/>
  <c r="AP16" i="1" s="1"/>
  <c r="AR16" i="1" s="1"/>
  <c r="AE16" i="1"/>
  <c r="AD16" i="1"/>
  <c r="AC16" i="1"/>
  <c r="Y16" i="1"/>
  <c r="U16" i="1"/>
  <c r="V16" i="1" s="1"/>
  <c r="X16" i="1" s="1"/>
  <c r="N16" i="1"/>
  <c r="O16" i="1" s="1"/>
  <c r="Q16" i="1" s="1"/>
  <c r="E16" i="1"/>
  <c r="F16" i="1" s="1"/>
  <c r="H16" i="1" s="1"/>
  <c r="AU15" i="1"/>
  <c r="AW15" i="1" s="1"/>
  <c r="AX15" i="1" s="1"/>
  <c r="AO15" i="1"/>
  <c r="AQ15" i="1" s="1"/>
  <c r="AR15" i="1" s="1"/>
  <c r="AE15" i="1"/>
  <c r="AD15" i="1"/>
  <c r="AC15" i="1"/>
  <c r="Y15" i="1"/>
  <c r="U15" i="1"/>
  <c r="W15" i="1" s="1"/>
  <c r="X15" i="1" s="1"/>
  <c r="N15" i="1"/>
  <c r="P15" i="1" s="1"/>
  <c r="Q15" i="1" s="1"/>
  <c r="E15" i="1"/>
  <c r="G15" i="1" s="1"/>
  <c r="H15" i="1" s="1"/>
  <c r="AU14" i="1"/>
  <c r="AV14" i="1" s="1"/>
  <c r="AX14" i="1" s="1"/>
  <c r="AO14" i="1"/>
  <c r="AP14" i="1" s="1"/>
  <c r="AR14" i="1" s="1"/>
  <c r="AE14" i="1"/>
  <c r="AD14" i="1"/>
  <c r="AC14" i="1"/>
  <c r="Y14" i="1"/>
  <c r="U14" i="1"/>
  <c r="V14" i="1" s="1"/>
  <c r="X14" i="1" s="1"/>
  <c r="N14" i="1"/>
  <c r="O14" i="1" s="1"/>
  <c r="Q14" i="1" s="1"/>
  <c r="E14" i="1"/>
  <c r="F14" i="1" s="1"/>
  <c r="H14" i="1" s="1"/>
  <c r="AU13" i="1"/>
  <c r="AV13" i="1" s="1"/>
  <c r="AX13" i="1" s="1"/>
  <c r="AO13" i="1"/>
  <c r="AP13" i="1" s="1"/>
  <c r="AR13" i="1" s="1"/>
  <c r="AE13" i="1"/>
  <c r="AD13" i="1"/>
  <c r="AC13" i="1"/>
  <c r="Y13" i="1"/>
  <c r="U13" i="1"/>
  <c r="V13" i="1" s="1"/>
  <c r="X13" i="1" s="1"/>
  <c r="N13" i="1"/>
  <c r="O13" i="1" s="1"/>
  <c r="Q13" i="1" s="1"/>
  <c r="E13" i="1"/>
  <c r="F13" i="1" s="1"/>
  <c r="H13" i="1" s="1"/>
  <c r="AU12" i="1"/>
  <c r="AV12" i="1" s="1"/>
  <c r="AX12" i="1" s="1"/>
  <c r="AO12" i="1"/>
  <c r="AP12" i="1" s="1"/>
  <c r="AR12" i="1" s="1"/>
  <c r="AE12" i="1"/>
  <c r="AD12" i="1"/>
  <c r="AC12" i="1"/>
  <c r="Y12" i="1"/>
  <c r="U12" i="1"/>
  <c r="V12" i="1" s="1"/>
  <c r="X12" i="1" s="1"/>
  <c r="N12" i="1"/>
  <c r="O12" i="1" s="1"/>
  <c r="Q12" i="1" s="1"/>
  <c r="E12" i="1"/>
  <c r="F12" i="1" s="1"/>
  <c r="H12" i="1" s="1"/>
  <c r="AU11" i="1"/>
  <c r="AV11" i="1" s="1"/>
  <c r="AX11" i="1" s="1"/>
  <c r="AO11" i="1"/>
  <c r="AP11" i="1" s="1"/>
  <c r="AR11" i="1" s="1"/>
  <c r="AE11" i="1"/>
  <c r="AD11" i="1"/>
  <c r="AC11" i="1"/>
  <c r="Y11" i="1"/>
  <c r="U11" i="1"/>
  <c r="V11" i="1" s="1"/>
  <c r="X11" i="1" s="1"/>
  <c r="N11" i="1"/>
  <c r="O11" i="1" s="1"/>
  <c r="Q11" i="1" s="1"/>
  <c r="E11" i="1"/>
  <c r="F11" i="1" s="1"/>
  <c r="H11" i="1" s="1"/>
  <c r="AU10" i="1"/>
  <c r="AV10" i="1" s="1"/>
  <c r="AX10" i="1" s="1"/>
  <c r="AO10" i="1"/>
  <c r="AP10" i="1" s="1"/>
  <c r="AR10" i="1" s="1"/>
  <c r="AE10" i="1"/>
  <c r="AD10" i="1"/>
  <c r="AC10" i="1"/>
  <c r="Y10" i="1"/>
  <c r="U10" i="1"/>
  <c r="V10" i="1" s="1"/>
  <c r="X10" i="1" s="1"/>
  <c r="N10" i="1"/>
  <c r="O10" i="1" s="1"/>
  <c r="Q10" i="1" s="1"/>
  <c r="E10" i="1"/>
  <c r="F10" i="1" s="1"/>
  <c r="H10" i="1" s="1"/>
  <c r="AU9" i="1"/>
  <c r="AV9" i="1" s="1"/>
  <c r="AX9" i="1" s="1"/>
  <c r="AO9" i="1"/>
  <c r="AP9" i="1" s="1"/>
  <c r="AR9" i="1" s="1"/>
  <c r="AE9" i="1"/>
  <c r="AD9" i="1"/>
  <c r="AC9" i="1"/>
  <c r="Y9" i="1"/>
  <c r="U9" i="1"/>
  <c r="V9" i="1" s="1"/>
  <c r="X9" i="1" s="1"/>
  <c r="N9" i="1"/>
  <c r="O9" i="1" s="1"/>
  <c r="Q9" i="1" s="1"/>
  <c r="E9" i="1"/>
  <c r="F9" i="1" s="1"/>
  <c r="H9" i="1" s="1"/>
  <c r="AI20" i="1" l="1"/>
  <c r="AK20" i="1" s="1"/>
  <c r="AL20" i="1" s="1"/>
  <c r="AF20" i="1"/>
  <c r="AG20" i="1" s="1"/>
  <c r="AH20" i="1" s="1"/>
  <c r="AI22" i="1"/>
  <c r="AK22" i="1" s="1"/>
  <c r="AL22" i="1" s="1"/>
  <c r="AF22" i="1"/>
  <c r="AG22" i="1" s="1"/>
  <c r="AH22" i="1" s="1"/>
  <c r="AI24" i="1"/>
  <c r="AK24" i="1" s="1"/>
  <c r="AL24" i="1" s="1"/>
  <c r="AF24" i="1"/>
  <c r="AG24" i="1" s="1"/>
  <c r="AH24" i="1" s="1"/>
  <c r="AI26" i="1"/>
  <c r="AK26" i="1" s="1"/>
  <c r="AL26" i="1" s="1"/>
  <c r="AF26" i="1"/>
  <c r="AG26" i="1" s="1"/>
  <c r="AH26" i="1" s="1"/>
  <c r="Y41" i="1"/>
  <c r="AD41" i="1"/>
  <c r="AF10" i="1"/>
  <c r="AG10" i="1" s="1"/>
  <c r="AH10" i="1" s="1"/>
  <c r="AF12" i="1"/>
  <c r="AG12" i="1" s="1"/>
  <c r="AH12" i="1" s="1"/>
  <c r="AF14" i="1"/>
  <c r="AG14" i="1" s="1"/>
  <c r="AH14" i="1" s="1"/>
  <c r="AI19" i="1"/>
  <c r="AK19" i="1" s="1"/>
  <c r="AL19" i="1" s="1"/>
  <c r="AF19" i="1"/>
  <c r="AG19" i="1" s="1"/>
  <c r="AH19" i="1" s="1"/>
  <c r="AI21" i="1"/>
  <c r="AK21" i="1" s="1"/>
  <c r="AL21" i="1" s="1"/>
  <c r="AF21" i="1"/>
  <c r="AG21" i="1" s="1"/>
  <c r="AH21" i="1" s="1"/>
  <c r="AI23" i="1"/>
  <c r="AK23" i="1" s="1"/>
  <c r="AL23" i="1" s="1"/>
  <c r="AF23" i="1"/>
  <c r="AG23" i="1" s="1"/>
  <c r="AH23" i="1" s="1"/>
  <c r="AI25" i="1"/>
  <c r="AK25" i="1" s="1"/>
  <c r="AL25" i="1" s="1"/>
  <c r="AF25" i="1"/>
  <c r="AG25" i="1" s="1"/>
  <c r="AH25" i="1" s="1"/>
  <c r="AI27" i="1"/>
  <c r="AK27" i="1" s="1"/>
  <c r="AL27" i="1" s="1"/>
  <c r="AF27" i="1"/>
  <c r="AG27" i="1" s="1"/>
  <c r="AH27" i="1" s="1"/>
  <c r="AF28" i="1"/>
  <c r="AG28" i="1" s="1"/>
  <c r="AH28" i="1" s="1"/>
  <c r="AF30" i="1"/>
  <c r="AG30" i="1" s="1"/>
  <c r="AH30" i="1" s="1"/>
  <c r="AF32" i="1"/>
  <c r="AG32" i="1" s="1"/>
  <c r="AH32" i="1" s="1"/>
  <c r="AF34" i="1"/>
  <c r="AG34" i="1" s="1"/>
  <c r="AH34" i="1" s="1"/>
  <c r="AF36" i="1"/>
  <c r="AG36" i="1" s="1"/>
  <c r="AH36" i="1" s="1"/>
  <c r="AF38" i="1"/>
  <c r="AG38" i="1" s="1"/>
  <c r="AH38" i="1" s="1"/>
  <c r="AY19" i="1"/>
  <c r="AY20" i="1"/>
  <c r="AY21" i="1"/>
  <c r="AY22" i="1"/>
  <c r="AY23" i="1"/>
  <c r="AY24" i="1"/>
  <c r="AY25" i="1"/>
  <c r="AY26" i="1"/>
  <c r="AY27" i="1"/>
  <c r="AF29" i="1"/>
  <c r="AG29" i="1" s="1"/>
  <c r="AH29" i="1" s="1"/>
  <c r="AF31" i="1"/>
  <c r="AG31" i="1" s="1"/>
  <c r="AH31" i="1" s="1"/>
  <c r="AF33" i="1"/>
  <c r="AG33" i="1" s="1"/>
  <c r="AH33" i="1" s="1"/>
  <c r="AF35" i="1"/>
  <c r="AG35" i="1" s="1"/>
  <c r="AH35" i="1" s="1"/>
  <c r="AF37" i="1"/>
  <c r="AG37" i="1" s="1"/>
  <c r="AH37" i="1" s="1"/>
  <c r="AF39" i="1"/>
  <c r="AG39" i="1" s="1"/>
  <c r="AH39" i="1" s="1"/>
  <c r="AC41" i="1"/>
  <c r="AE41" i="1"/>
  <c r="AF11" i="1"/>
  <c r="AG11" i="1" s="1"/>
  <c r="AH11" i="1" s="1"/>
  <c r="AF13" i="1"/>
  <c r="AG13" i="1" s="1"/>
  <c r="AH13" i="1" s="1"/>
  <c r="AF15" i="1"/>
  <c r="AG15" i="1" s="1"/>
  <c r="AH15" i="1" s="1"/>
  <c r="AI16" i="1"/>
  <c r="AJ16" i="1" s="1"/>
  <c r="AL16" i="1" s="1"/>
  <c r="AY16" i="1" s="1"/>
  <c r="AI17" i="1"/>
  <c r="AJ17" i="1" s="1"/>
  <c r="AL17" i="1" s="1"/>
  <c r="AI18" i="1"/>
  <c r="AK18" i="1" s="1"/>
  <c r="AL18" i="1" s="1"/>
  <c r="AY18" i="1" s="1"/>
  <c r="AF40" i="1"/>
  <c r="AG40" i="1" s="1"/>
  <c r="AH40" i="1" s="1"/>
  <c r="AY17" i="1"/>
  <c r="AI9" i="1"/>
  <c r="AJ9" i="1" s="1"/>
  <c r="AL9" i="1" s="1"/>
  <c r="AY9" i="1" s="1"/>
  <c r="AI10" i="1"/>
  <c r="AJ10" i="1" s="1"/>
  <c r="AL10" i="1" s="1"/>
  <c r="AY10" i="1" s="1"/>
  <c r="AI11" i="1"/>
  <c r="AJ11" i="1" s="1"/>
  <c r="AL11" i="1" s="1"/>
  <c r="AY11" i="1" s="1"/>
  <c r="AI12" i="1"/>
  <c r="AJ12" i="1" s="1"/>
  <c r="AL12" i="1" s="1"/>
  <c r="AY12" i="1" s="1"/>
  <c r="AI13" i="1"/>
  <c r="AJ13" i="1" s="1"/>
  <c r="AL13" i="1" s="1"/>
  <c r="AY13" i="1" s="1"/>
  <c r="AI14" i="1"/>
  <c r="AJ14" i="1" s="1"/>
  <c r="AL14" i="1" s="1"/>
  <c r="AY14" i="1" s="1"/>
  <c r="AI15" i="1"/>
  <c r="AK15" i="1" s="1"/>
  <c r="AL15" i="1" s="1"/>
  <c r="AY15" i="1" s="1"/>
  <c r="AF16" i="1"/>
  <c r="AG16" i="1" s="1"/>
  <c r="AH16" i="1" s="1"/>
  <c r="AF18" i="1"/>
  <c r="AG18" i="1" s="1"/>
  <c r="AH18" i="1" s="1"/>
  <c r="AF9" i="1"/>
  <c r="AG9" i="1" s="1"/>
  <c r="AH9" i="1" s="1"/>
  <c r="AF17" i="1"/>
  <c r="AG17" i="1" s="1"/>
  <c r="AH17" i="1" s="1"/>
  <c r="AI28" i="1"/>
  <c r="AK28" i="1" s="1"/>
  <c r="AL28" i="1" s="1"/>
  <c r="AY28" i="1" s="1"/>
  <c r="AI29" i="1"/>
  <c r="AK29" i="1" s="1"/>
  <c r="AL29" i="1" s="1"/>
  <c r="AY29" i="1" s="1"/>
  <c r="AI30" i="1"/>
  <c r="AK30" i="1" s="1"/>
  <c r="AL30" i="1" s="1"/>
  <c r="AY30" i="1" s="1"/>
  <c r="AI31" i="1"/>
  <c r="AK31" i="1" s="1"/>
  <c r="AL31" i="1" s="1"/>
  <c r="AY31" i="1" s="1"/>
  <c r="AI32" i="1"/>
  <c r="AK32" i="1" s="1"/>
  <c r="AL32" i="1" s="1"/>
  <c r="AY32" i="1" s="1"/>
  <c r="AI33" i="1"/>
  <c r="AK33" i="1" s="1"/>
  <c r="AL33" i="1" s="1"/>
  <c r="AY33" i="1" s="1"/>
  <c r="AI34" i="1"/>
  <c r="AK34" i="1" s="1"/>
  <c r="AL34" i="1" s="1"/>
  <c r="AY34" i="1" s="1"/>
  <c r="AI35" i="1"/>
  <c r="AK35" i="1" s="1"/>
  <c r="AL35" i="1" s="1"/>
  <c r="AY35" i="1" s="1"/>
  <c r="AI36" i="1"/>
  <c r="AJ36" i="1" s="1"/>
  <c r="AL36" i="1" s="1"/>
  <c r="AY36" i="1" s="1"/>
  <c r="AI37" i="1"/>
  <c r="AK37" i="1" s="1"/>
  <c r="AL37" i="1" s="1"/>
  <c r="AY37" i="1" s="1"/>
  <c r="AI38" i="1"/>
  <c r="AJ38" i="1" s="1"/>
  <c r="AL38" i="1" s="1"/>
  <c r="AY38" i="1" s="1"/>
  <c r="AI39" i="1"/>
  <c r="AK39" i="1" s="1"/>
  <c r="AL39" i="1" s="1"/>
  <c r="AY39" i="1" s="1"/>
  <c r="AI40" i="1"/>
  <c r="AK40" i="1" s="1"/>
  <c r="AL40" i="1" s="1"/>
  <c r="AY40" i="1" s="1"/>
</calcChain>
</file>

<file path=xl/sharedStrings.xml><?xml version="1.0" encoding="utf-8"?>
<sst xmlns="http://schemas.openxmlformats.org/spreadsheetml/2006/main" count="138" uniqueCount="101">
  <si>
    <t>тыс.руб.</t>
  </si>
  <si>
    <t>P1</t>
  </si>
  <si>
    <t>P2</t>
  </si>
  <si>
    <t>P3</t>
  </si>
  <si>
    <t>P4</t>
  </si>
  <si>
    <t>P5.1</t>
  </si>
  <si>
    <t>P5.2</t>
  </si>
  <si>
    <r>
      <t xml:space="preserve">Объем заимствований муниципального образования в </t>
    </r>
    <r>
      <rPr>
        <b/>
        <sz val="10"/>
        <color indexed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</si>
  <si>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Сумма, направленная в текущем финансовом году на финансирование дефицита местного бюджета</t>
  </si>
  <si>
    <t>Сумма, направленная в текущем финансовом году на погашение долговых обязательств бюджета муниципального образования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</si>
  <si>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</si>
  <si>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Нормативное значение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</si>
  <si>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</si>
  <si>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Количество баллов</t>
  </si>
  <si>
    <t>Объем муниципального долга</t>
  </si>
  <si>
    <t>Общий годовой объем доходов местного бюджета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</si>
  <si>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</si>
  <si>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Объем поступлений по дополнительным нормативам</t>
  </si>
  <si>
    <t>Задолженность по бюджетным кредитам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</si>
  <si>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</si>
  <si>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Объем расходов местного бюджета на обслуживание муниципального долга</t>
  </si>
  <si>
    <t>Объем расходов местного бюджета</t>
  </si>
  <si>
    <t>Объем расходов, которые осуществляются за счет субвенций, предоставляемых из областного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</si>
  <si>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</si>
  <si>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Размер дефицита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</si>
  <si>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</si>
  <si>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Величина снижения остатков средств на счетах по учету средств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</si>
  <si>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</si>
  <si>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Объем доходов местного бюджета</t>
  </si>
  <si>
    <t>Объем безвозмездных поступлений</t>
  </si>
  <si>
    <t>объем налоговых поступлений по дополнительным нормативам</t>
  </si>
  <si>
    <t>Доходы без безвозмездных и доп нормативов</t>
  </si>
  <si>
    <t>5% или 10% от собственных доходов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</si>
  <si>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</si>
  <si>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</si>
  <si>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утвержденный в местном бюджете на текущий финансовый год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</si>
  <si>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исчисленный по утвержденному нормативу формирования данных расходов.</t>
  </si>
  <si>
    <t>Отношение утвержденного в местном бюджете годового объема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к расходам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исчисленным к установленному нормативу формирования данных расходов (ст. 136 БК РФ)</t>
  </si>
  <si>
    <t>Объем расходов на содержание органов местного самоуправления, утвержденный в местном бюджете на текущий финансовый год</t>
  </si>
  <si>
    <t xml:space="preserve">Объем расходов на содержание органов местного самоуправления по утвержденному нормативу </t>
  </si>
  <si>
    <t>Отношение утвержденного в местном бюджете годового объема расходов на содержание органов местного самоуправления, к расходам на содержание органов местного самоуправления по утвержденному нормативу (ст. 136 БК РФ)</t>
  </si>
  <si>
    <t>Итоговое значение</t>
  </si>
  <si>
    <t>Аi</t>
  </si>
  <si>
    <t>Бi</t>
  </si>
  <si>
    <t>Вi</t>
  </si>
  <si>
    <t>Р1 = Аi / (Бi + Вi),                                    если Бi &lt; 0, то Р1 = Аi / Вi</t>
  </si>
  <si>
    <t>≤1,0</t>
  </si>
  <si>
    <t>Гi</t>
  </si>
  <si>
    <t>Р2 = Аi / (Бi - Вi - Гi)</t>
  </si>
  <si>
    <t>≤0,5</t>
  </si>
  <si>
    <t>Р3 = Аi / (Бi - Вi)</t>
  </si>
  <si>
    <t>≤0,15</t>
  </si>
  <si>
    <t>Кi</t>
  </si>
  <si>
    <t>Дi</t>
  </si>
  <si>
    <t>Иi</t>
  </si>
  <si>
    <t>Р4 =  (Ai - Бi – Bi – Кi)/
(Гi -Дi - Иi), при Бi &gt; 0 и Bi &gt; 0, и Кi  &gt; 0
иначе Р4 = Ai/(Гi - Дi - Иi)</t>
  </si>
  <si>
    <t>≤0,10</t>
  </si>
  <si>
    <t>≤0,05</t>
  </si>
  <si>
    <t>Р5 = Ai/Бi</t>
  </si>
  <si>
    <t>если -, то 0</t>
  </si>
  <si>
    <t>ГО город Брянск</t>
  </si>
  <si>
    <t>ГО город Клинцы</t>
  </si>
  <si>
    <t xml:space="preserve">Новозыбковский ГО </t>
  </si>
  <si>
    <t xml:space="preserve">Сельцовский ГО </t>
  </si>
  <si>
    <t>Стародубский мун округ</t>
  </si>
  <si>
    <t xml:space="preserve">ГО город Фокино </t>
  </si>
  <si>
    <t xml:space="preserve">Брасовский МР </t>
  </si>
  <si>
    <t xml:space="preserve">Брянский МР  </t>
  </si>
  <si>
    <t xml:space="preserve">Выгоничский МР  </t>
  </si>
  <si>
    <t xml:space="preserve">Гордеевский МР  </t>
  </si>
  <si>
    <t xml:space="preserve">Дубровский МР </t>
  </si>
  <si>
    <t xml:space="preserve">Дятьковский МР </t>
  </si>
  <si>
    <t xml:space="preserve">Жирятинский МР </t>
  </si>
  <si>
    <t xml:space="preserve">Жуковский МР </t>
  </si>
  <si>
    <t xml:space="preserve">Злынковский МР </t>
  </si>
  <si>
    <t xml:space="preserve">Карачевский МР </t>
  </si>
  <si>
    <t xml:space="preserve">Клетнянский МР </t>
  </si>
  <si>
    <t xml:space="preserve">Климовский МР </t>
  </si>
  <si>
    <t xml:space="preserve">Клинцовский МР </t>
  </si>
  <si>
    <t xml:space="preserve">Комаричский МР </t>
  </si>
  <si>
    <t xml:space="preserve">Красногорский МР </t>
  </si>
  <si>
    <t xml:space="preserve">Мглинский МР </t>
  </si>
  <si>
    <t xml:space="preserve">Навлинский МР </t>
  </si>
  <si>
    <t xml:space="preserve">Погарский МР </t>
  </si>
  <si>
    <t xml:space="preserve">Почепский МР </t>
  </si>
  <si>
    <t xml:space="preserve">Рогнединский МР </t>
  </si>
  <si>
    <t xml:space="preserve">Севский МР </t>
  </si>
  <si>
    <t xml:space="preserve">Стародубский МР </t>
  </si>
  <si>
    <t xml:space="preserve">Суземский МР </t>
  </si>
  <si>
    <t xml:space="preserve">Суражский МР </t>
  </si>
  <si>
    <t xml:space="preserve">Трубчевский МР </t>
  </si>
  <si>
    <t xml:space="preserve">Унечский МР </t>
  </si>
  <si>
    <t>ИТОГО</t>
  </si>
  <si>
    <t>получение кредитов (бюдж+банковские)</t>
  </si>
  <si>
    <t>итого источников</t>
  </si>
  <si>
    <t>погашение кредитов (бюдж+банковские)</t>
  </si>
  <si>
    <t>может превысить ограничения, установленные п. 5 ст. 107, на сумму, не превышающую объема бюджетных ассигнований на профилактику и устранение последствий распространения коронавирусной инфекции (ФЗ от 15.10.2020 N 327-ФЗ).</t>
  </si>
  <si>
    <t>В 2021 г. дефицит местного бюджета может превысить ограничения, установленные п. 3 ст. 92.1, на сумму бюджетных ассигнований на профилактику и устранение последствий распространения коронавирусной инфекции (ФЗ от 15.10.2020 N 327-ФЗ).</t>
  </si>
  <si>
    <t xml:space="preserve"> не должен превышать</t>
  </si>
  <si>
    <t>утвержденного объема безвозмездных поступлений</t>
  </si>
  <si>
    <t>Мониторинг соблюдения органами местного самоуправления муниципальных районов, муниципальных округов и городских округов требований бюджетного законодательства и оценки качества организации и осуществления бюджетного процесса за 2020 год (по состоянию на 01.01.2021)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</si>
</sst>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.00_ ;[Red]\-#,##0.00\ "/>
    <numFmt numFmtId="166" formatCode="#,##0.0_ ;[Red]\-#,##0.0\ "/>
    <numFmt numFmtId="167" formatCode="_-* #,##0_р_._-;\-* #,##0_р_._-;_-* &quot;-&quot;??_р_._-;_-@_-"/>
    <numFmt numFmtId="168" formatCode="_-* #,##0.0_р_._-;\-* #,##0.0_р_._-;_-* &quot;-&quot;??_р_._-;_-@_-"/>
    <numFmt numFmtId="169" formatCode="#,##0.0"/>
    <numFmt numFmtId="170" formatCode="#,##0_ ;[Red]\-#,##0\ "/>
    <numFmt numFmtId="171" formatCode="0.000"/>
    <numFmt numFmtId="172" formatCode="0.0000"/>
    <numFmt numFmtId="173" formatCode="0.0_ ;[Red]\-0.0\ 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Helv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 applyFill="1"/>
    <xf numFmtId="0" fontId="0" fillId="2" borderId="0" xfId="0" applyFill="1"/>
    <xf numFmtId="165" fontId="0" fillId="0" borderId="0" xfId="0" applyNumberFormat="1" applyFill="1"/>
    <xf numFmtId="0" fontId="0" fillId="6" borderId="7" xfId="0" applyFill="1" applyBorder="1"/>
    <xf numFmtId="0" fontId="6" fillId="7" borderId="10" xfId="0" applyFont="1" applyFill="1" applyBorder="1" applyAlignment="1">
      <alignment horizontal="center"/>
    </xf>
    <xf numFmtId="0" fontId="6" fillId="7" borderId="11" xfId="0" applyFont="1" applyFill="1" applyBorder="1" applyAlignment="1"/>
    <xf numFmtId="0" fontId="6" fillId="7" borderId="12" xfId="0" applyFont="1" applyFill="1" applyBorder="1" applyAlignment="1"/>
    <xf numFmtId="0" fontId="6" fillId="7" borderId="13" xfId="0" applyFont="1" applyFill="1" applyBorder="1" applyAlignment="1"/>
    <xf numFmtId="0" fontId="2" fillId="0" borderId="10" xfId="0" applyFont="1" applyBorder="1" applyAlignment="1">
      <alignment horizontal="center"/>
    </xf>
    <xf numFmtId="0" fontId="6" fillId="7" borderId="15" xfId="0" applyFont="1" applyFill="1" applyBorder="1" applyAlignment="1"/>
    <xf numFmtId="0" fontId="0" fillId="6" borderId="16" xfId="0" applyFill="1" applyBorder="1"/>
    <xf numFmtId="0" fontId="2" fillId="8" borderId="17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9" borderId="18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25" xfId="0" applyBorder="1"/>
    <xf numFmtId="0" fontId="0" fillId="0" borderId="26" xfId="0" applyFill="1" applyBorder="1"/>
    <xf numFmtId="0" fontId="0" fillId="0" borderId="0" xfId="0" applyFill="1" applyBorder="1"/>
    <xf numFmtId="166" fontId="0" fillId="0" borderId="0" xfId="0" applyNumberFormat="1" applyBorder="1"/>
    <xf numFmtId="0" fontId="0" fillId="0" borderId="26" xfId="0" applyBorder="1"/>
    <xf numFmtId="0" fontId="0" fillId="0" borderId="20" xfId="0" applyBorder="1"/>
    <xf numFmtId="0" fontId="11" fillId="11" borderId="27" xfId="0" applyFont="1" applyFill="1" applyBorder="1" applyAlignment="1">
      <alignment horizontal="center"/>
    </xf>
    <xf numFmtId="0" fontId="11" fillId="11" borderId="22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8" xfId="0" applyFont="1" applyFill="1" applyBorder="1" applyAlignment="1">
      <alignment horizontal="center"/>
    </xf>
    <xf numFmtId="0" fontId="11" fillId="11" borderId="29" xfId="0" applyFont="1" applyFill="1" applyBorder="1" applyAlignment="1">
      <alignment horizontal="center"/>
    </xf>
    <xf numFmtId="0" fontId="6" fillId="11" borderId="22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2" fillId="0" borderId="30" xfId="0" applyFont="1" applyBorder="1"/>
    <xf numFmtId="166" fontId="2" fillId="0" borderId="31" xfId="1" applyNumberFormat="1" applyFont="1" applyFill="1" applyBorder="1"/>
    <xf numFmtId="165" fontId="6" fillId="0" borderId="31" xfId="1" applyNumberFormat="1" applyFont="1" applyBorder="1"/>
    <xf numFmtId="167" fontId="2" fillId="0" borderId="32" xfId="1" applyNumberFormat="1" applyFont="1" applyBorder="1"/>
    <xf numFmtId="167" fontId="2" fillId="0" borderId="10" xfId="1" applyNumberFormat="1" applyFont="1" applyBorder="1"/>
    <xf numFmtId="168" fontId="6" fillId="0" borderId="33" xfId="1" applyNumberFormat="1" applyFont="1" applyBorder="1"/>
    <xf numFmtId="165" fontId="2" fillId="0" borderId="31" xfId="1" applyNumberFormat="1" applyFont="1" applyFill="1" applyBorder="1"/>
    <xf numFmtId="4" fontId="2" fillId="0" borderId="32" xfId="1" applyNumberFormat="1" applyFont="1" applyFill="1" applyBorder="1"/>
    <xf numFmtId="166" fontId="2" fillId="2" borderId="31" xfId="1" applyNumberFormat="1" applyFont="1" applyFill="1" applyBorder="1"/>
    <xf numFmtId="165" fontId="6" fillId="0" borderId="31" xfId="1" applyNumberFormat="1" applyFont="1" applyFill="1" applyBorder="1"/>
    <xf numFmtId="166" fontId="2" fillId="0" borderId="34" xfId="1" applyNumberFormat="1" applyFont="1" applyFill="1" applyBorder="1"/>
    <xf numFmtId="169" fontId="2" fillId="0" borderId="32" xfId="1" applyNumberFormat="1" applyFont="1" applyFill="1" applyBorder="1"/>
    <xf numFmtId="170" fontId="2" fillId="0" borderId="10" xfId="1" applyNumberFormat="1" applyFont="1" applyFill="1" applyBorder="1"/>
    <xf numFmtId="166" fontId="2" fillId="0" borderId="10" xfId="1" applyNumberFormat="1" applyFont="1" applyFill="1" applyBorder="1"/>
    <xf numFmtId="166" fontId="2" fillId="0" borderId="10" xfId="1" applyNumberFormat="1" applyFont="1" applyBorder="1"/>
    <xf numFmtId="171" fontId="6" fillId="0" borderId="10" xfId="1" applyNumberFormat="1" applyFont="1" applyBorder="1"/>
    <xf numFmtId="168" fontId="2" fillId="0" borderId="32" xfId="1" applyNumberFormat="1" applyFont="1" applyFill="1" applyBorder="1"/>
    <xf numFmtId="167" fontId="2" fillId="0" borderId="10" xfId="1" applyNumberFormat="1" applyFont="1" applyFill="1" applyBorder="1"/>
    <xf numFmtId="168" fontId="6" fillId="0" borderId="33" xfId="1" applyNumberFormat="1" applyFont="1" applyFill="1" applyBorder="1"/>
    <xf numFmtId="167" fontId="2" fillId="0" borderId="35" xfId="1" applyNumberFormat="1" applyFont="1" applyFill="1" applyBorder="1"/>
    <xf numFmtId="172" fontId="6" fillId="0" borderId="10" xfId="1" applyNumberFormat="1" applyFont="1" applyBorder="1"/>
    <xf numFmtId="168" fontId="2" fillId="0" borderId="32" xfId="1" applyNumberFormat="1" applyFont="1" applyBorder="1"/>
    <xf numFmtId="173" fontId="6" fillId="0" borderId="10" xfId="1" applyNumberFormat="1" applyFont="1" applyBorder="1"/>
    <xf numFmtId="168" fontId="6" fillId="0" borderId="36" xfId="1" applyNumberFormat="1" applyFont="1" applyBorder="1"/>
    <xf numFmtId="0" fontId="2" fillId="0" borderId="37" xfId="0" applyFont="1" applyBorder="1"/>
    <xf numFmtId="167" fontId="2" fillId="0" borderId="32" xfId="1" applyNumberFormat="1" applyFont="1" applyFill="1" applyBorder="1"/>
    <xf numFmtId="166" fontId="2" fillId="0" borderId="35" xfId="1" applyNumberFormat="1" applyFont="1" applyFill="1" applyBorder="1"/>
    <xf numFmtId="168" fontId="6" fillId="0" borderId="36" xfId="1" applyNumberFormat="1" applyFont="1" applyFill="1" applyBorder="1"/>
    <xf numFmtId="172" fontId="6" fillId="0" borderId="10" xfId="1" applyNumberFormat="1" applyFont="1" applyFill="1" applyBorder="1"/>
    <xf numFmtId="171" fontId="6" fillId="0" borderId="10" xfId="1" applyNumberFormat="1" applyFont="1" applyFill="1" applyBorder="1"/>
    <xf numFmtId="0" fontId="2" fillId="0" borderId="37" xfId="0" applyFont="1" applyFill="1" applyBorder="1"/>
    <xf numFmtId="168" fontId="2" fillId="0" borderId="10" xfId="1" applyNumberFormat="1" applyFont="1" applyFill="1" applyBorder="1"/>
    <xf numFmtId="173" fontId="6" fillId="0" borderId="10" xfId="1" applyNumberFormat="1" applyFont="1" applyFill="1" applyBorder="1"/>
    <xf numFmtId="166" fontId="2" fillId="0" borderId="31" xfId="1" applyNumberFormat="1" applyFont="1" applyBorder="1"/>
    <xf numFmtId="165" fontId="2" fillId="0" borderId="31" xfId="1" applyNumberFormat="1" applyFont="1" applyBorder="1"/>
    <xf numFmtId="166" fontId="2" fillId="0" borderId="35" xfId="1" applyNumberFormat="1" applyFont="1" applyBorder="1"/>
    <xf numFmtId="171" fontId="6" fillId="2" borderId="10" xfId="1" applyNumberFormat="1" applyFont="1" applyFill="1" applyBorder="1"/>
    <xf numFmtId="167" fontId="2" fillId="0" borderId="35" xfId="1" applyNumberFormat="1" applyFont="1" applyBorder="1"/>
    <xf numFmtId="168" fontId="6" fillId="2" borderId="36" xfId="1" applyNumberFormat="1" applyFont="1" applyFill="1" applyBorder="1"/>
    <xf numFmtId="166" fontId="2" fillId="0" borderId="38" xfId="1" applyNumberFormat="1" applyFont="1" applyBorder="1"/>
    <xf numFmtId="0" fontId="2" fillId="12" borderId="37" xfId="0" applyFont="1" applyFill="1" applyBorder="1"/>
    <xf numFmtId="166" fontId="2" fillId="12" borderId="31" xfId="1" applyNumberFormat="1" applyFont="1" applyFill="1" applyBorder="1"/>
    <xf numFmtId="165" fontId="6" fillId="12" borderId="31" xfId="1" applyNumberFormat="1" applyFont="1" applyFill="1" applyBorder="1"/>
    <xf numFmtId="167" fontId="2" fillId="12" borderId="32" xfId="1" applyNumberFormat="1" applyFont="1" applyFill="1" applyBorder="1"/>
    <xf numFmtId="167" fontId="2" fillId="12" borderId="10" xfId="1" applyNumberFormat="1" applyFont="1" applyFill="1" applyBorder="1"/>
    <xf numFmtId="168" fontId="6" fillId="12" borderId="33" xfId="1" applyNumberFormat="1" applyFont="1" applyFill="1" applyBorder="1"/>
    <xf numFmtId="165" fontId="2" fillId="12" borderId="31" xfId="1" applyNumberFormat="1" applyFont="1" applyFill="1" applyBorder="1"/>
    <xf numFmtId="4" fontId="2" fillId="12" borderId="32" xfId="1" applyNumberFormat="1" applyFont="1" applyFill="1" applyBorder="1"/>
    <xf numFmtId="166" fontId="2" fillId="12" borderId="14" xfId="1" applyNumberFormat="1" applyFont="1" applyFill="1" applyBorder="1"/>
    <xf numFmtId="169" fontId="2" fillId="12" borderId="32" xfId="1" applyNumberFormat="1" applyFont="1" applyFill="1" applyBorder="1"/>
    <xf numFmtId="166" fontId="2" fillId="12" borderId="10" xfId="1" applyNumberFormat="1" applyFont="1" applyFill="1" applyBorder="1"/>
    <xf numFmtId="171" fontId="6" fillId="12" borderId="10" xfId="1" applyNumberFormat="1" applyFont="1" applyFill="1" applyBorder="1"/>
    <xf numFmtId="168" fontId="2" fillId="12" borderId="32" xfId="1" applyNumberFormat="1" applyFont="1" applyFill="1" applyBorder="1"/>
    <xf numFmtId="168" fontId="2" fillId="12" borderId="10" xfId="1" applyNumberFormat="1" applyFont="1" applyFill="1" applyBorder="1"/>
    <xf numFmtId="167" fontId="2" fillId="12" borderId="35" xfId="1" applyNumberFormat="1" applyFont="1" applyFill="1" applyBorder="1"/>
    <xf numFmtId="172" fontId="6" fillId="12" borderId="10" xfId="1" applyNumberFormat="1" applyFont="1" applyFill="1" applyBorder="1"/>
    <xf numFmtId="173" fontId="6" fillId="12" borderId="10" xfId="1" applyNumberFormat="1" applyFont="1" applyFill="1" applyBorder="1"/>
    <xf numFmtId="168" fontId="6" fillId="12" borderId="36" xfId="1" applyNumberFormat="1" applyFont="1" applyFill="1" applyBorder="1"/>
    <xf numFmtId="166" fontId="2" fillId="12" borderId="35" xfId="1" applyNumberFormat="1" applyFont="1" applyFill="1" applyBorder="1"/>
    <xf numFmtId="0" fontId="6" fillId="11" borderId="39" xfId="0" applyFont="1" applyFill="1" applyBorder="1" applyProtection="1"/>
    <xf numFmtId="167" fontId="6" fillId="11" borderId="40" xfId="1" applyNumberFormat="1" applyFont="1" applyFill="1" applyBorder="1" applyAlignment="1">
      <alignment horizontal="center"/>
    </xf>
    <xf numFmtId="167" fontId="6" fillId="11" borderId="41" xfId="1" applyNumberFormat="1" applyFont="1" applyFill="1" applyBorder="1" applyAlignment="1">
      <alignment horizontal="center"/>
    </xf>
    <xf numFmtId="167" fontId="6" fillId="11" borderId="42" xfId="1" applyNumberFormat="1" applyFont="1" applyFill="1" applyBorder="1" applyAlignment="1">
      <alignment horizontal="center"/>
    </xf>
    <xf numFmtId="168" fontId="6" fillId="11" borderId="41" xfId="1" applyNumberFormat="1" applyFont="1" applyFill="1" applyBorder="1" applyAlignment="1">
      <alignment horizontal="center"/>
    </xf>
    <xf numFmtId="168" fontId="6" fillId="11" borderId="43" xfId="1" applyNumberFormat="1" applyFont="1" applyFill="1" applyBorder="1" applyAlignment="1">
      <alignment horizontal="center"/>
    </xf>
    <xf numFmtId="167" fontId="6" fillId="11" borderId="44" xfId="1" applyNumberFormat="1" applyFont="1" applyFill="1" applyBorder="1" applyAlignment="1">
      <alignment horizontal="center"/>
    </xf>
    <xf numFmtId="167" fontId="6" fillId="11" borderId="43" xfId="1" applyNumberFormat="1" applyFont="1" applyFill="1" applyBorder="1" applyAlignment="1">
      <alignment horizontal="center"/>
    </xf>
    <xf numFmtId="167" fontId="6" fillId="11" borderId="45" xfId="1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168" fontId="0" fillId="0" borderId="0" xfId="0" applyNumberFormat="1"/>
    <xf numFmtId="49" fontId="3" fillId="0" borderId="0" xfId="1" applyNumberFormat="1" applyFont="1" applyAlignment="1">
      <alignment horizontal="center" wrapText="1"/>
    </xf>
    <xf numFmtId="49" fontId="3" fillId="0" borderId="1" xfId="1" applyNumberFormat="1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5">
    <cellStyle name="Обычный" xfId="0" builtinId="0"/>
    <cellStyle name="Процентный 2" xfId="2"/>
    <cellStyle name="Стиль 1" xfId="3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50"/>
  <sheetViews>
    <sheetView tabSelected="1" view="pageBreakPreview" zoomScale="70" zoomScaleNormal="70" zoomScaleSheetLayoutView="70" workbookViewId="0">
      <pane xSplit="1" ySplit="9" topLeftCell="B10" activePane="bottomRight" state="frozen"/>
      <selection pane="topRight" activeCell="B1" sqref="B1"/>
      <selection pane="bottomLeft" activeCell="A11" sqref="A11"/>
      <selection pane="bottomRight" activeCell="B1" sqref="B1:H2"/>
    </sheetView>
  </sheetViews>
  <sheetFormatPr defaultColWidth="9.140625" defaultRowHeight="12.75" x14ac:dyDescent="0.2"/>
  <cols>
    <col min="1" max="1" width="21.42578125" customWidth="1"/>
    <col min="2" max="2" width="22" customWidth="1"/>
    <col min="3" max="3" width="20.42578125" customWidth="1"/>
    <col min="4" max="4" width="20.140625" customWidth="1"/>
    <col min="5" max="5" width="32.85546875" customWidth="1"/>
    <col min="6" max="6" width="21.5703125" customWidth="1"/>
    <col min="7" max="7" width="23.5703125" customWidth="1"/>
    <col min="8" max="8" width="21.5703125" customWidth="1"/>
    <col min="9" max="9" width="17.42578125" customWidth="1"/>
    <col min="10" max="10" width="18" customWidth="1"/>
    <col min="11" max="11" width="17.28515625" customWidth="1"/>
    <col min="12" max="12" width="17.42578125" customWidth="1"/>
    <col min="13" max="13" width="12.85546875" customWidth="1"/>
    <col min="14" max="14" width="25.42578125" customWidth="1"/>
    <col min="15" max="15" width="18.140625" customWidth="1"/>
    <col min="16" max="16" width="19.85546875" customWidth="1"/>
    <col min="17" max="17" width="14.85546875" customWidth="1"/>
    <col min="18" max="18" width="21.5703125" customWidth="1"/>
    <col min="19" max="19" width="21.42578125" customWidth="1"/>
    <col min="20" max="20" width="24.42578125" customWidth="1"/>
    <col min="21" max="21" width="33.5703125" customWidth="1"/>
    <col min="22" max="22" width="18" customWidth="1"/>
    <col min="23" max="23" width="28.140625" customWidth="1"/>
    <col min="24" max="24" width="14" customWidth="1"/>
    <col min="25" max="25" width="14.85546875" customWidth="1"/>
    <col min="26" max="26" width="16.85546875" customWidth="1"/>
    <col min="27" max="27" width="16" customWidth="1"/>
    <col min="28" max="28" width="20.5703125" hidden="1" customWidth="1"/>
    <col min="29" max="29" width="14" customWidth="1"/>
    <col min="30" max="31" width="15.140625" customWidth="1"/>
    <col min="32" max="32" width="15.42578125" hidden="1" customWidth="1"/>
    <col min="33" max="33" width="20.42578125" hidden="1" customWidth="1"/>
    <col min="34" max="34" width="36.5703125" hidden="1" customWidth="1"/>
    <col min="35" max="35" width="28.85546875" customWidth="1"/>
    <col min="36" max="36" width="12.85546875" customWidth="1"/>
    <col min="37" max="37" width="18.140625" customWidth="1"/>
    <col min="38" max="38" width="12.28515625" customWidth="1"/>
    <col min="39" max="40" width="28.7109375" customWidth="1"/>
    <col min="41" max="41" width="48.42578125" customWidth="1"/>
    <col min="42" max="42" width="16.85546875" customWidth="1"/>
    <col min="43" max="43" width="21.140625" customWidth="1"/>
    <col min="44" max="44" width="20.42578125" customWidth="1"/>
    <col min="45" max="45" width="32" customWidth="1"/>
    <col min="46" max="46" width="27.42578125" customWidth="1"/>
    <col min="47" max="47" width="31.5703125" customWidth="1"/>
    <col min="48" max="48" width="16.85546875" customWidth="1"/>
    <col min="49" max="49" width="24" customWidth="1"/>
    <col min="50" max="50" width="18.5703125" customWidth="1"/>
    <col min="51" max="51" width="13.85546875" customWidth="1"/>
    <col min="52" max="16384" width="9.140625" style="7"/>
  </cols>
  <sheetData>
    <row r="1" spans="1:51" s="5" customFormat="1" ht="22.5" customHeight="1" x14ac:dyDescent="0.2">
      <c r="A1" s="1"/>
      <c r="B1" s="116" t="s">
        <v>100</v>
      </c>
      <c r="C1" s="116"/>
      <c r="D1" s="116"/>
      <c r="E1" s="116"/>
      <c r="F1" s="116"/>
      <c r="G1" s="116"/>
      <c r="H1" s="11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1"/>
      <c r="AA1" s="2"/>
      <c r="AB1" s="1"/>
      <c r="AC1" s="1"/>
      <c r="AD1" s="1"/>
      <c r="AE1" s="1"/>
      <c r="AF1" s="1"/>
      <c r="AG1" s="1"/>
      <c r="AH1" s="1"/>
      <c r="AI1" s="1"/>
      <c r="AJ1" s="1"/>
      <c r="AK1" s="1"/>
      <c r="AL1" s="3"/>
      <c r="AM1" s="3"/>
      <c r="AN1" s="4"/>
      <c r="AO1" s="4"/>
      <c r="AP1" s="4"/>
      <c r="AQ1" s="3"/>
      <c r="AR1" s="1"/>
      <c r="AS1" s="3"/>
      <c r="AT1" s="3"/>
      <c r="AU1" s="4"/>
      <c r="AV1" s="4"/>
      <c r="AW1" s="3"/>
      <c r="AX1" s="1"/>
      <c r="AY1" s="1"/>
    </row>
    <row r="2" spans="1:51" ht="24.95" customHeight="1" thickBot="1" x14ac:dyDescent="0.25">
      <c r="B2" s="117"/>
      <c r="C2" s="117"/>
      <c r="D2" s="117"/>
      <c r="E2" s="117"/>
      <c r="F2" s="117"/>
      <c r="G2" s="117"/>
      <c r="H2" s="117"/>
      <c r="I2" s="6"/>
      <c r="J2" s="6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AE2" s="6"/>
      <c r="AM2" s="6"/>
      <c r="AN2" s="6"/>
      <c r="AO2" s="6"/>
    </row>
    <row r="3" spans="1:51" ht="13.5" customHeight="1" thickTop="1" x14ac:dyDescent="0.2">
      <c r="A3" s="118" t="s">
        <v>0</v>
      </c>
      <c r="B3" s="121"/>
      <c r="C3" s="122"/>
      <c r="D3" s="122"/>
      <c r="E3" s="122"/>
      <c r="F3" s="122"/>
      <c r="G3" s="122"/>
      <c r="H3" s="123"/>
      <c r="I3" s="124"/>
      <c r="J3" s="125"/>
      <c r="K3" s="125"/>
      <c r="L3" s="125"/>
      <c r="M3" s="125"/>
      <c r="N3" s="125"/>
      <c r="O3" s="125"/>
      <c r="P3" s="125"/>
      <c r="Q3" s="126"/>
      <c r="R3" s="124"/>
      <c r="S3" s="125"/>
      <c r="T3" s="125"/>
      <c r="U3" s="125"/>
      <c r="V3" s="125"/>
      <c r="W3" s="125"/>
      <c r="X3" s="126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7"/>
      <c r="AM3" s="124"/>
      <c r="AN3" s="125"/>
      <c r="AO3" s="125"/>
      <c r="AP3" s="125"/>
      <c r="AQ3" s="125"/>
      <c r="AR3" s="127"/>
      <c r="AS3" s="124"/>
      <c r="AT3" s="125"/>
      <c r="AU3" s="125"/>
      <c r="AV3" s="125"/>
      <c r="AW3" s="125"/>
      <c r="AX3" s="127"/>
      <c r="AY3" s="9"/>
    </row>
    <row r="4" spans="1:51" ht="13.5" customHeight="1" thickBot="1" x14ac:dyDescent="0.25">
      <c r="A4" s="119"/>
      <c r="B4" s="128"/>
      <c r="C4" s="129"/>
      <c r="D4" s="129"/>
      <c r="E4" s="10" t="s">
        <v>1</v>
      </c>
      <c r="F4" s="11"/>
      <c r="G4" s="12"/>
      <c r="H4" s="13"/>
      <c r="I4" s="130"/>
      <c r="J4" s="129"/>
      <c r="K4" s="129"/>
      <c r="L4" s="14"/>
      <c r="M4" s="14"/>
      <c r="N4" s="10" t="s">
        <v>2</v>
      </c>
      <c r="O4" s="11"/>
      <c r="P4" s="12"/>
      <c r="Q4" s="13"/>
      <c r="R4" s="130"/>
      <c r="S4" s="129"/>
      <c r="T4" s="129"/>
      <c r="U4" s="10" t="s">
        <v>3</v>
      </c>
      <c r="V4" s="11"/>
      <c r="W4" s="12"/>
      <c r="X4" s="13"/>
      <c r="Y4" s="131"/>
      <c r="Z4" s="129"/>
      <c r="AA4" s="129"/>
      <c r="AB4" s="14"/>
      <c r="AC4" s="14"/>
      <c r="AD4" s="14"/>
      <c r="AE4" s="14"/>
      <c r="AF4" s="14"/>
      <c r="AG4" s="14"/>
      <c r="AH4" s="14"/>
      <c r="AI4" s="10" t="s">
        <v>4</v>
      </c>
      <c r="AJ4" s="11"/>
      <c r="AK4" s="12"/>
      <c r="AL4" s="15"/>
      <c r="AM4" s="130"/>
      <c r="AN4" s="129"/>
      <c r="AO4" s="10" t="s">
        <v>5</v>
      </c>
      <c r="AP4" s="11"/>
      <c r="AQ4" s="12"/>
      <c r="AR4" s="15"/>
      <c r="AS4" s="130"/>
      <c r="AT4" s="129"/>
      <c r="AU4" s="10" t="s">
        <v>6</v>
      </c>
      <c r="AV4" s="11"/>
      <c r="AW4" s="12"/>
      <c r="AX4" s="15"/>
      <c r="AY4" s="16"/>
    </row>
    <row r="5" spans="1:51" ht="129.94999999999999" customHeight="1" thickBot="1" x14ac:dyDescent="0.25">
      <c r="A5" s="119"/>
      <c r="B5" s="17" t="s">
        <v>7</v>
      </c>
      <c r="C5" s="17" t="s">
        <v>8</v>
      </c>
      <c r="D5" s="17" t="s">
        <v>9</v>
      </c>
      <c r="E5" s="17" t="s">
        <v>10</v>
      </c>
      <c r="F5" s="18" t="s">
        <v>11</v>
      </c>
      <c r="G5" s="18" t="s">
        <v>12</v>
      </c>
      <c r="H5" s="19" t="s">
        <v>13</v>
      </c>
      <c r="I5" s="17" t="s">
        <v>14</v>
      </c>
      <c r="J5" s="17" t="s">
        <v>15</v>
      </c>
      <c r="K5" s="17" t="s">
        <v>16</v>
      </c>
      <c r="L5" s="17" t="s">
        <v>17</v>
      </c>
      <c r="M5" s="17" t="s">
        <v>18</v>
      </c>
      <c r="N5" s="17" t="s">
        <v>19</v>
      </c>
      <c r="O5" s="18" t="s">
        <v>11</v>
      </c>
      <c r="P5" s="18" t="s">
        <v>12</v>
      </c>
      <c r="Q5" s="19" t="s">
        <v>13</v>
      </c>
      <c r="R5" s="17" t="s">
        <v>20</v>
      </c>
      <c r="S5" s="17" t="s">
        <v>21</v>
      </c>
      <c r="T5" s="17" t="s">
        <v>22</v>
      </c>
      <c r="U5" s="17" t="s">
        <v>23</v>
      </c>
      <c r="V5" s="18" t="s">
        <v>11</v>
      </c>
      <c r="W5" s="18" t="s">
        <v>12</v>
      </c>
      <c r="X5" s="19" t="s">
        <v>13</v>
      </c>
      <c r="Y5" s="17" t="s">
        <v>24</v>
      </c>
      <c r="Z5" s="17" t="s">
        <v>25</v>
      </c>
      <c r="AA5" s="17" t="s">
        <v>26</v>
      </c>
      <c r="AB5" s="17" t="s">
        <v>27</v>
      </c>
      <c r="AC5" s="17" t="s">
        <v>28</v>
      </c>
      <c r="AD5" s="17" t="s">
        <v>29</v>
      </c>
      <c r="AE5" s="17" t="s">
        <v>30</v>
      </c>
      <c r="AF5" s="20" t="s">
        <v>31</v>
      </c>
      <c r="AG5" s="20" t="s">
        <v>32</v>
      </c>
      <c r="AH5" s="20" t="s">
        <v>33</v>
      </c>
      <c r="AI5" s="17" t="s">
        <v>34</v>
      </c>
      <c r="AJ5" s="18" t="s">
        <v>11</v>
      </c>
      <c r="AK5" s="18" t="s">
        <v>12</v>
      </c>
      <c r="AL5" s="18" t="s">
        <v>13</v>
      </c>
      <c r="AM5" s="21" t="s">
        <v>35</v>
      </c>
      <c r="AN5" s="17" t="s">
        <v>36</v>
      </c>
      <c r="AO5" s="17" t="s">
        <v>37</v>
      </c>
      <c r="AP5" s="18" t="s">
        <v>11</v>
      </c>
      <c r="AQ5" s="18" t="s">
        <v>12</v>
      </c>
      <c r="AR5" s="18" t="s">
        <v>13</v>
      </c>
      <c r="AS5" s="21" t="s">
        <v>38</v>
      </c>
      <c r="AT5" s="17" t="s">
        <v>39</v>
      </c>
      <c r="AU5" s="17" t="s">
        <v>40</v>
      </c>
      <c r="AV5" s="18" t="s">
        <v>11</v>
      </c>
      <c r="AW5" s="18" t="s">
        <v>12</v>
      </c>
      <c r="AX5" s="18" t="s">
        <v>13</v>
      </c>
      <c r="AY5" s="22" t="s">
        <v>41</v>
      </c>
    </row>
    <row r="6" spans="1:51" ht="52.5" thickTop="1" thickBot="1" x14ac:dyDescent="0.25">
      <c r="A6" s="120"/>
      <c r="B6" s="23" t="s">
        <v>42</v>
      </c>
      <c r="C6" s="23" t="s">
        <v>43</v>
      </c>
      <c r="D6" s="23" t="s">
        <v>44</v>
      </c>
      <c r="E6" s="23" t="s">
        <v>45</v>
      </c>
      <c r="F6" s="23" t="s">
        <v>46</v>
      </c>
      <c r="G6" s="23" t="s">
        <v>46</v>
      </c>
      <c r="H6" s="24">
        <v>1</v>
      </c>
      <c r="I6" s="23" t="s">
        <v>42</v>
      </c>
      <c r="J6" s="23" t="s">
        <v>43</v>
      </c>
      <c r="K6" s="23" t="s">
        <v>44</v>
      </c>
      <c r="L6" s="23" t="s">
        <v>47</v>
      </c>
      <c r="M6" s="23"/>
      <c r="N6" s="23" t="s">
        <v>48</v>
      </c>
      <c r="O6" s="25" t="s">
        <v>46</v>
      </c>
      <c r="P6" s="26" t="s">
        <v>49</v>
      </c>
      <c r="Q6" s="24">
        <v>1</v>
      </c>
      <c r="R6" s="23" t="s">
        <v>42</v>
      </c>
      <c r="S6" s="23" t="s">
        <v>43</v>
      </c>
      <c r="T6" s="23" t="s">
        <v>44</v>
      </c>
      <c r="U6" s="23" t="s">
        <v>50</v>
      </c>
      <c r="V6" s="23" t="s">
        <v>51</v>
      </c>
      <c r="W6" s="23" t="s">
        <v>51</v>
      </c>
      <c r="X6" s="24">
        <v>1</v>
      </c>
      <c r="Y6" s="23" t="s">
        <v>42</v>
      </c>
      <c r="Z6" s="23" t="s">
        <v>43</v>
      </c>
      <c r="AA6" s="23" t="s">
        <v>44</v>
      </c>
      <c r="AB6" s="23" t="s">
        <v>52</v>
      </c>
      <c r="AC6" s="23" t="s">
        <v>47</v>
      </c>
      <c r="AD6" s="23" t="s">
        <v>53</v>
      </c>
      <c r="AE6" s="23" t="s">
        <v>54</v>
      </c>
      <c r="AF6" s="27"/>
      <c r="AG6" s="27"/>
      <c r="AH6" s="27"/>
      <c r="AI6" s="23" t="s">
        <v>55</v>
      </c>
      <c r="AJ6" s="23" t="s">
        <v>56</v>
      </c>
      <c r="AK6" s="23" t="s">
        <v>57</v>
      </c>
      <c r="AL6" s="23">
        <v>1.5</v>
      </c>
      <c r="AM6" s="23" t="s">
        <v>42</v>
      </c>
      <c r="AN6" s="23" t="s">
        <v>43</v>
      </c>
      <c r="AO6" s="23" t="s">
        <v>58</v>
      </c>
      <c r="AP6" s="23" t="s">
        <v>46</v>
      </c>
      <c r="AQ6" s="23" t="s">
        <v>46</v>
      </c>
      <c r="AR6" s="23">
        <v>1</v>
      </c>
      <c r="AS6" s="23" t="s">
        <v>42</v>
      </c>
      <c r="AT6" s="23" t="s">
        <v>43</v>
      </c>
      <c r="AU6" s="23" t="s">
        <v>58</v>
      </c>
      <c r="AV6" s="23" t="s">
        <v>46</v>
      </c>
      <c r="AW6" s="23" t="s">
        <v>46</v>
      </c>
      <c r="AX6" s="23">
        <v>1</v>
      </c>
      <c r="AY6" s="28"/>
    </row>
    <row r="7" spans="1:51" ht="15" thickTop="1" thickBot="1" x14ac:dyDescent="0.25">
      <c r="A7" s="29"/>
      <c r="B7" s="30"/>
      <c r="C7" s="30"/>
      <c r="D7" s="30"/>
      <c r="E7" s="30"/>
      <c r="F7" s="30"/>
      <c r="G7" s="30"/>
      <c r="H7" s="31"/>
      <c r="I7" s="32"/>
      <c r="J7" s="30"/>
      <c r="K7" s="30"/>
      <c r="L7" s="33"/>
      <c r="M7" s="33"/>
      <c r="N7" s="30"/>
      <c r="O7" s="30"/>
      <c r="P7" s="30"/>
      <c r="Q7" s="31"/>
      <c r="R7" s="32"/>
      <c r="S7" s="30"/>
      <c r="T7" s="30"/>
      <c r="U7" s="30"/>
      <c r="V7" s="30"/>
      <c r="W7" s="30"/>
      <c r="X7" s="31"/>
      <c r="Y7" s="34"/>
      <c r="Z7" s="30"/>
      <c r="AA7" s="30"/>
      <c r="AB7" s="33"/>
      <c r="AC7" s="34"/>
      <c r="AD7" s="30"/>
      <c r="AE7" s="30"/>
      <c r="AF7" s="30"/>
      <c r="AG7" s="30"/>
      <c r="AH7" s="30"/>
      <c r="AI7" s="30"/>
      <c r="AJ7" s="30"/>
      <c r="AK7" s="30"/>
      <c r="AL7" s="30"/>
      <c r="AM7" s="35"/>
      <c r="AN7" s="30"/>
      <c r="AO7" s="30"/>
      <c r="AP7" s="30"/>
      <c r="AQ7" s="30"/>
      <c r="AR7" s="30"/>
      <c r="AS7" s="35"/>
      <c r="AT7" s="30"/>
      <c r="AU7" s="30"/>
      <c r="AV7" s="30"/>
      <c r="AW7" s="30"/>
      <c r="AX7" s="30"/>
      <c r="AY7" s="36"/>
    </row>
    <row r="8" spans="1:51" ht="14.25" thickTop="1" thickBot="1" x14ac:dyDescent="0.25">
      <c r="A8" s="37"/>
      <c r="B8" s="38"/>
      <c r="C8" s="38"/>
      <c r="D8" s="38"/>
      <c r="E8" s="38"/>
      <c r="F8" s="38"/>
      <c r="G8" s="38"/>
      <c r="H8" s="39"/>
      <c r="I8" s="40"/>
      <c r="J8" s="38"/>
      <c r="K8" s="38"/>
      <c r="L8" s="38"/>
      <c r="M8" s="38"/>
      <c r="N8" s="38"/>
      <c r="O8" s="38"/>
      <c r="P8" s="38"/>
      <c r="Q8" s="39"/>
      <c r="R8" s="40"/>
      <c r="S8" s="38"/>
      <c r="T8" s="38"/>
      <c r="U8" s="38"/>
      <c r="V8" s="38"/>
      <c r="W8" s="38"/>
      <c r="X8" s="39"/>
      <c r="Y8" s="41"/>
      <c r="Z8" s="38"/>
      <c r="AA8" s="38"/>
      <c r="AB8" s="38"/>
      <c r="AC8" s="38"/>
      <c r="AD8" s="38"/>
      <c r="AE8" s="38"/>
      <c r="AF8" s="38"/>
      <c r="AG8" s="38"/>
      <c r="AH8" s="38"/>
      <c r="AI8" s="42" t="s">
        <v>59</v>
      </c>
      <c r="AJ8" s="38"/>
      <c r="AK8" s="38"/>
      <c r="AL8" s="38"/>
      <c r="AM8" s="40"/>
      <c r="AN8" s="38"/>
      <c r="AO8" s="38"/>
      <c r="AP8" s="38"/>
      <c r="AQ8" s="38"/>
      <c r="AR8" s="38"/>
      <c r="AS8" s="40"/>
      <c r="AT8" s="38"/>
      <c r="AU8" s="38"/>
      <c r="AV8" s="38"/>
      <c r="AW8" s="38"/>
      <c r="AX8" s="38"/>
      <c r="AY8" s="43"/>
    </row>
    <row r="9" spans="1:51" ht="13.5" thickTop="1" x14ac:dyDescent="0.2">
      <c r="A9" s="44" t="s">
        <v>60</v>
      </c>
      <c r="B9" s="45">
        <v>2170167.8339999998</v>
      </c>
      <c r="C9" s="45">
        <v>180272.11533</v>
      </c>
      <c r="D9" s="45">
        <v>2170858.8339999998</v>
      </c>
      <c r="E9" s="46">
        <f>IF(AND(B9=0,D9=0),0,B9/(IF(C9&gt;0,C9,0)+D9))</f>
        <v>0.92303146050560525</v>
      </c>
      <c r="F9" s="47">
        <f>IF(E9&lt;=1.05,1,0)</f>
        <v>1</v>
      </c>
      <c r="G9" s="48"/>
      <c r="H9" s="49">
        <f t="shared" ref="H9:H40" si="0">F9+G9</f>
        <v>1</v>
      </c>
      <c r="I9" s="45">
        <v>2263018.1</v>
      </c>
      <c r="J9" s="50">
        <v>12180961.96927</v>
      </c>
      <c r="K9" s="51">
        <v>9095266.0008700006</v>
      </c>
      <c r="L9" s="52">
        <v>160889</v>
      </c>
      <c r="M9" s="52">
        <v>0</v>
      </c>
      <c r="N9" s="53">
        <f>(I9-M9)/(J9-K9-L9)</f>
        <v>0.77373246318473188</v>
      </c>
      <c r="O9" s="47">
        <f t="shared" ref="O9:O16" si="1">IF(N9&lt;=1,1,0)</f>
        <v>1</v>
      </c>
      <c r="P9" s="48"/>
      <c r="Q9" s="49">
        <f t="shared" ref="Q9:Q40" si="2">O9+P9</f>
        <v>1</v>
      </c>
      <c r="R9" s="54">
        <v>171863.73774000001</v>
      </c>
      <c r="S9" s="45">
        <v>12363427.4016</v>
      </c>
      <c r="T9" s="55">
        <v>3297095.8373699998</v>
      </c>
      <c r="U9" s="46">
        <f t="shared" ref="U9:U40" si="3">R9/(S9-T9)</f>
        <v>1.8956259929657267E-2</v>
      </c>
      <c r="V9" s="47">
        <f t="shared" ref="V9:V16" si="4">IF(U9&lt;=0.15,1,0)</f>
        <v>1</v>
      </c>
      <c r="W9" s="48"/>
      <c r="X9" s="49">
        <f>V9+W9</f>
        <v>1</v>
      </c>
      <c r="Y9" s="45">
        <f>C9</f>
        <v>180272.11533</v>
      </c>
      <c r="Z9" s="56">
        <v>691</v>
      </c>
      <c r="AA9" s="57">
        <v>180272.11533</v>
      </c>
      <c r="AB9" s="58"/>
      <c r="AC9" s="58">
        <f t="shared" ref="AC9:AE40" si="5">J9</f>
        <v>12180961.96927</v>
      </c>
      <c r="AD9" s="58">
        <f t="shared" si="5"/>
        <v>9095266.0008700006</v>
      </c>
      <c r="AE9" s="58">
        <f t="shared" si="5"/>
        <v>160889</v>
      </c>
      <c r="AF9" s="58">
        <f>AC9-AD9-AE9</f>
        <v>2924806.9683999997</v>
      </c>
      <c r="AG9" s="58">
        <f t="shared" ref="AG9:AG17" si="6">AF9*10%</f>
        <v>292480.69683999999</v>
      </c>
      <c r="AH9" s="58">
        <f t="shared" ref="AH9:AH15" si="7">IF(AA9&gt;0,AA9,0)+AG9+IF(AB9&gt;0,AB9,0)</f>
        <v>472752.81216999999</v>
      </c>
      <c r="AI9" s="59">
        <f t="shared" ref="AI9:AI40" si="8">IF((Y9-IF(Z9&gt;0,Z9,0)-IF(AA9&gt;0,AA9,0)-IF(AB9&gt;0,AB9,0))/(AC9-AD9-AE9)&gt;0,(Y9-IF(Z9&gt;0,Z9,0)-IF(AA9&gt;0,AA9,0)-IF(AB9&gt;0,AB9,0))/(AC9-AD9-AE9),0)</f>
        <v>0</v>
      </c>
      <c r="AJ9" s="60">
        <f>IF(AI9&lt;=0.1,1.5,0)</f>
        <v>1.5</v>
      </c>
      <c r="AK9" s="61"/>
      <c r="AL9" s="62">
        <f t="shared" ref="AL9:AL40" si="9">AJ9+AK9</f>
        <v>1.5</v>
      </c>
      <c r="AM9" s="63">
        <v>275433.59999999998</v>
      </c>
      <c r="AN9" s="61">
        <v>299896.7</v>
      </c>
      <c r="AO9" s="64">
        <f t="shared" ref="AO9:AO40" si="10">AM9/AN9</f>
        <v>0.91842824545918633</v>
      </c>
      <c r="AP9" s="65">
        <f>IF(AO9&lt;=1,1,0)</f>
        <v>1</v>
      </c>
      <c r="AQ9" s="48"/>
      <c r="AR9" s="66">
        <f>AP9+AQ9</f>
        <v>1</v>
      </c>
      <c r="AS9" s="63">
        <v>507908.5</v>
      </c>
      <c r="AT9" s="61">
        <v>541925.4</v>
      </c>
      <c r="AU9" s="59">
        <f>AS9/AT9</f>
        <v>0.93722955225940685</v>
      </c>
      <c r="AV9" s="65">
        <f>IF(AU9&lt;=1,1,0)</f>
        <v>1</v>
      </c>
      <c r="AW9" s="48"/>
      <c r="AX9" s="66">
        <f t="shared" ref="AX9:AX40" si="11">AV9+AW9</f>
        <v>1</v>
      </c>
      <c r="AY9" s="67">
        <f>H9+Q9+X9+AL9+AR9+AX9</f>
        <v>6.5</v>
      </c>
    </row>
    <row r="10" spans="1:51" x14ac:dyDescent="0.2">
      <c r="A10" s="68" t="s">
        <v>61</v>
      </c>
      <c r="B10" s="45">
        <v>50000</v>
      </c>
      <c r="C10" s="45">
        <v>13460.604800000001</v>
      </c>
      <c r="D10" s="45">
        <v>60000</v>
      </c>
      <c r="E10" s="46">
        <f t="shared" ref="E10:E40" si="12">IF(AND(B10=0,D10=0),0,B10/(IF(C10&gt;0,C10,0)+D10))</f>
        <v>0.68063692282587906</v>
      </c>
      <c r="F10" s="69">
        <f t="shared" ref="F10:F17" si="13">IF(E10&lt;=1.05,1,0)</f>
        <v>1</v>
      </c>
      <c r="G10" s="48"/>
      <c r="H10" s="49">
        <f t="shared" si="0"/>
        <v>1</v>
      </c>
      <c r="I10" s="45">
        <v>50000</v>
      </c>
      <c r="J10" s="50">
        <v>1494320.4632000001</v>
      </c>
      <c r="K10" s="51">
        <v>954725.60613999993</v>
      </c>
      <c r="L10" s="52">
        <v>256230</v>
      </c>
      <c r="M10" s="52">
        <v>0</v>
      </c>
      <c r="N10" s="46">
        <f t="shared" ref="N10:N40" si="14">(I10-M10)/(J10-K10-L10)</f>
        <v>0.17645095626453391</v>
      </c>
      <c r="O10" s="47">
        <f t="shared" si="1"/>
        <v>1</v>
      </c>
      <c r="P10" s="48"/>
      <c r="Q10" s="49">
        <f t="shared" si="2"/>
        <v>1</v>
      </c>
      <c r="R10" s="70">
        <v>4277.8384800000003</v>
      </c>
      <c r="S10" s="45">
        <v>1507781.068</v>
      </c>
      <c r="T10" s="55">
        <v>487372.02577000001</v>
      </c>
      <c r="U10" s="46">
        <f t="shared" si="3"/>
        <v>4.1922780992328526E-3</v>
      </c>
      <c r="V10" s="47">
        <f t="shared" si="4"/>
        <v>1</v>
      </c>
      <c r="W10" s="48"/>
      <c r="X10" s="49">
        <f t="shared" ref="X10:X40" si="15">V10+W10</f>
        <v>1</v>
      </c>
      <c r="Y10" s="45">
        <f t="shared" ref="Y10:Y40" si="16">C10</f>
        <v>13460.604800000001</v>
      </c>
      <c r="Z10" s="57"/>
      <c r="AA10" s="57">
        <v>23460.604800000001</v>
      </c>
      <c r="AB10" s="58"/>
      <c r="AC10" s="58">
        <f t="shared" si="5"/>
        <v>1494320.4632000001</v>
      </c>
      <c r="AD10" s="58">
        <f t="shared" si="5"/>
        <v>954725.60613999993</v>
      </c>
      <c r="AE10" s="58">
        <f t="shared" si="5"/>
        <v>256230</v>
      </c>
      <c r="AF10" s="58">
        <f t="shared" ref="AF10:AF40" si="17">AC10-AD10-AE10</f>
        <v>283364.85706000018</v>
      </c>
      <c r="AG10" s="58">
        <f t="shared" si="6"/>
        <v>28336.485706000021</v>
      </c>
      <c r="AH10" s="58">
        <f t="shared" si="7"/>
        <v>51797.090506000022</v>
      </c>
      <c r="AI10" s="59">
        <f t="shared" si="8"/>
        <v>0</v>
      </c>
      <c r="AJ10" s="60">
        <f t="shared" ref="AJ10:AJ17" si="18">IF(AI10&lt;=0.1,1.5,0)</f>
        <v>1.5</v>
      </c>
      <c r="AK10" s="48"/>
      <c r="AL10" s="49">
        <f t="shared" si="9"/>
        <v>1.5</v>
      </c>
      <c r="AM10" s="63">
        <v>37958.6</v>
      </c>
      <c r="AN10" s="61">
        <v>38675.300000000003</v>
      </c>
      <c r="AO10" s="64">
        <f t="shared" si="10"/>
        <v>0.98146879274368903</v>
      </c>
      <c r="AP10" s="65">
        <f t="shared" ref="AP10:AP17" si="19">IF(AO10&lt;=1,1,0)</f>
        <v>1</v>
      </c>
      <c r="AQ10" s="48"/>
      <c r="AR10" s="66">
        <f t="shared" ref="AR10:AR38" si="20">AP10+AQ10</f>
        <v>1</v>
      </c>
      <c r="AS10" s="63">
        <v>71424.7</v>
      </c>
      <c r="AT10" s="61">
        <v>86984.7</v>
      </c>
      <c r="AU10" s="59">
        <f t="shared" ref="AU10:AU40" si="21">AS10/AT10</f>
        <v>0.8211179667228834</v>
      </c>
      <c r="AV10" s="65">
        <f t="shared" ref="AV10:AV17" si="22">IF(AU10&lt;=1,1,0)</f>
        <v>1</v>
      </c>
      <c r="AW10" s="48"/>
      <c r="AX10" s="66">
        <f t="shared" si="11"/>
        <v>1</v>
      </c>
      <c r="AY10" s="71">
        <f t="shared" ref="AY10:AY40" si="23">H10+Q10+X10+AL10+AR10+AX10</f>
        <v>6.5</v>
      </c>
    </row>
    <row r="11" spans="1:51" x14ac:dyDescent="0.2">
      <c r="A11" s="68" t="s">
        <v>62</v>
      </c>
      <c r="B11" s="45">
        <v>71000</v>
      </c>
      <c r="C11" s="45">
        <v>25589.50807</v>
      </c>
      <c r="D11" s="45">
        <v>62000</v>
      </c>
      <c r="E11" s="46">
        <f t="shared" si="12"/>
        <v>0.81059936931325205</v>
      </c>
      <c r="F11" s="47">
        <f t="shared" si="13"/>
        <v>1</v>
      </c>
      <c r="G11" s="48"/>
      <c r="H11" s="49">
        <f t="shared" si="0"/>
        <v>1</v>
      </c>
      <c r="I11" s="45">
        <v>41000</v>
      </c>
      <c r="J11" s="50">
        <v>1049264.16882</v>
      </c>
      <c r="K11" s="51">
        <v>777217.52876000002</v>
      </c>
      <c r="L11" s="52">
        <v>93934</v>
      </c>
      <c r="M11" s="52">
        <v>0</v>
      </c>
      <c r="N11" s="46">
        <f t="shared" si="14"/>
        <v>0.23019141137983534</v>
      </c>
      <c r="O11" s="47">
        <f t="shared" si="1"/>
        <v>1</v>
      </c>
      <c r="P11" s="48"/>
      <c r="Q11" s="49">
        <f t="shared" si="2"/>
        <v>1</v>
      </c>
      <c r="R11" s="70">
        <v>2435</v>
      </c>
      <c r="S11" s="45">
        <v>1075255.74089</v>
      </c>
      <c r="T11" s="55">
        <v>408928.42080999998</v>
      </c>
      <c r="U11" s="46">
        <f t="shared" si="3"/>
        <v>3.654360141960938E-3</v>
      </c>
      <c r="V11" s="47">
        <f t="shared" si="4"/>
        <v>1</v>
      </c>
      <c r="W11" s="48"/>
      <c r="X11" s="49">
        <f t="shared" si="15"/>
        <v>1</v>
      </c>
      <c r="Y11" s="45">
        <f t="shared" si="16"/>
        <v>25589.50807</v>
      </c>
      <c r="Z11" s="57"/>
      <c r="AA11" s="57">
        <v>16589.50807</v>
      </c>
      <c r="AB11" s="58"/>
      <c r="AC11" s="58">
        <f t="shared" si="5"/>
        <v>1049264.16882</v>
      </c>
      <c r="AD11" s="58">
        <f t="shared" si="5"/>
        <v>777217.52876000002</v>
      </c>
      <c r="AE11" s="58">
        <f t="shared" si="5"/>
        <v>93934</v>
      </c>
      <c r="AF11" s="58">
        <f t="shared" si="17"/>
        <v>178112.64006000001</v>
      </c>
      <c r="AG11" s="58">
        <f t="shared" si="6"/>
        <v>17811.264006000001</v>
      </c>
      <c r="AH11" s="58">
        <f t="shared" si="7"/>
        <v>34400.772076000001</v>
      </c>
      <c r="AI11" s="59">
        <f t="shared" si="8"/>
        <v>5.0529822010207753E-2</v>
      </c>
      <c r="AJ11" s="60">
        <f t="shared" si="18"/>
        <v>1.5</v>
      </c>
      <c r="AK11" s="48"/>
      <c r="AL11" s="49">
        <f t="shared" si="9"/>
        <v>1.5</v>
      </c>
      <c r="AM11" s="63">
        <v>26658.3</v>
      </c>
      <c r="AN11" s="61">
        <v>28960.6</v>
      </c>
      <c r="AO11" s="72">
        <f t="shared" si="10"/>
        <v>0.92050233765875022</v>
      </c>
      <c r="AP11" s="65">
        <f t="shared" si="19"/>
        <v>1</v>
      </c>
      <c r="AQ11" s="48"/>
      <c r="AR11" s="66">
        <f t="shared" si="20"/>
        <v>1</v>
      </c>
      <c r="AS11" s="63">
        <v>58378.6</v>
      </c>
      <c r="AT11" s="61">
        <v>66212.3</v>
      </c>
      <c r="AU11" s="73">
        <f t="shared" si="21"/>
        <v>0.88168814555603714</v>
      </c>
      <c r="AV11" s="65">
        <f t="shared" si="22"/>
        <v>1</v>
      </c>
      <c r="AW11" s="48"/>
      <c r="AX11" s="66">
        <f t="shared" si="11"/>
        <v>1</v>
      </c>
      <c r="AY11" s="71">
        <f t="shared" si="23"/>
        <v>6.5</v>
      </c>
    </row>
    <row r="12" spans="1:51" x14ac:dyDescent="0.2">
      <c r="A12" s="74" t="s">
        <v>63</v>
      </c>
      <c r="B12" s="45">
        <v>7000</v>
      </c>
      <c r="C12" s="45">
        <v>7968.9337400000004</v>
      </c>
      <c r="D12" s="45">
        <v>7000</v>
      </c>
      <c r="E12" s="53">
        <f t="shared" si="12"/>
        <v>0.46763517840249319</v>
      </c>
      <c r="F12" s="47">
        <f t="shared" si="13"/>
        <v>1</v>
      </c>
      <c r="G12" s="61"/>
      <c r="H12" s="62">
        <f t="shared" si="0"/>
        <v>1</v>
      </c>
      <c r="I12" s="45">
        <v>7000</v>
      </c>
      <c r="J12" s="50">
        <v>333810.61868999997</v>
      </c>
      <c r="K12" s="51">
        <v>218425.25797999999</v>
      </c>
      <c r="L12" s="45">
        <v>45309</v>
      </c>
      <c r="M12" s="45">
        <v>0</v>
      </c>
      <c r="N12" s="53">
        <f t="shared" si="14"/>
        <v>9.9891032140901281E-2</v>
      </c>
      <c r="O12" s="47">
        <f t="shared" si="1"/>
        <v>1</v>
      </c>
      <c r="P12" s="61"/>
      <c r="Q12" s="62">
        <f t="shared" si="2"/>
        <v>1</v>
      </c>
      <c r="R12" s="70">
        <v>534.01538000000005</v>
      </c>
      <c r="S12" s="45">
        <v>342040.08343</v>
      </c>
      <c r="T12" s="55">
        <v>135368.19759999998</v>
      </c>
      <c r="U12" s="53">
        <f t="shared" si="3"/>
        <v>2.583880133746201E-3</v>
      </c>
      <c r="V12" s="47">
        <f t="shared" si="4"/>
        <v>1</v>
      </c>
      <c r="W12" s="61"/>
      <c r="X12" s="62">
        <f t="shared" si="15"/>
        <v>1</v>
      </c>
      <c r="Y12" s="45">
        <f t="shared" si="16"/>
        <v>7968.9337400000004</v>
      </c>
      <c r="Z12" s="57"/>
      <c r="AA12" s="57">
        <v>7968.9337400000004</v>
      </c>
      <c r="AB12" s="57"/>
      <c r="AC12" s="57">
        <f t="shared" si="5"/>
        <v>333810.61868999997</v>
      </c>
      <c r="AD12" s="57">
        <f t="shared" si="5"/>
        <v>218425.25797999999</v>
      </c>
      <c r="AE12" s="57">
        <f t="shared" si="5"/>
        <v>45309</v>
      </c>
      <c r="AF12" s="57">
        <f t="shared" si="17"/>
        <v>70076.360709999979</v>
      </c>
      <c r="AG12" s="58">
        <f>AF12*5%</f>
        <v>3503.818035499999</v>
      </c>
      <c r="AH12" s="57">
        <f t="shared" si="7"/>
        <v>11472.751775499999</v>
      </c>
      <c r="AI12" s="73">
        <f t="shared" si="8"/>
        <v>0</v>
      </c>
      <c r="AJ12" s="60">
        <f t="shared" si="18"/>
        <v>1.5</v>
      </c>
      <c r="AK12" s="75"/>
      <c r="AL12" s="62">
        <f t="shared" si="9"/>
        <v>1.5</v>
      </c>
      <c r="AM12" s="63">
        <v>10825.8</v>
      </c>
      <c r="AN12" s="61">
        <v>11443.4</v>
      </c>
      <c r="AO12" s="72">
        <f t="shared" si="10"/>
        <v>0.94603002604121145</v>
      </c>
      <c r="AP12" s="65">
        <f t="shared" si="19"/>
        <v>1</v>
      </c>
      <c r="AQ12" s="75"/>
      <c r="AR12" s="76">
        <f t="shared" si="20"/>
        <v>1</v>
      </c>
      <c r="AS12" s="63">
        <v>26951.599999999999</v>
      </c>
      <c r="AT12" s="61">
        <v>27709.599999999999</v>
      </c>
      <c r="AU12" s="73">
        <f t="shared" si="21"/>
        <v>0.97264485954326296</v>
      </c>
      <c r="AV12" s="65">
        <f t="shared" si="22"/>
        <v>1</v>
      </c>
      <c r="AW12" s="75"/>
      <c r="AX12" s="76">
        <f t="shared" si="11"/>
        <v>1</v>
      </c>
      <c r="AY12" s="71">
        <f t="shared" si="23"/>
        <v>6.5</v>
      </c>
    </row>
    <row r="13" spans="1:51" s="6" customFormat="1" x14ac:dyDescent="0.2">
      <c r="A13" s="68" t="s">
        <v>64</v>
      </c>
      <c r="B13" s="77">
        <v>30972.775000000001</v>
      </c>
      <c r="C13" s="77">
        <v>26845.047079999997</v>
      </c>
      <c r="D13" s="77">
        <v>30972.775000000001</v>
      </c>
      <c r="E13" s="53">
        <f>IF(AND(B13=0,D13=0),0,B13/(IF(C13&gt;0,C13,0)+D13))</f>
        <v>0.53569598241082694</v>
      </c>
      <c r="F13" s="47">
        <f>IF(E13&lt;=1.05,1,0)</f>
        <v>1</v>
      </c>
      <c r="G13" s="48"/>
      <c r="H13" s="49">
        <f>F13+G13</f>
        <v>1</v>
      </c>
      <c r="I13" s="45">
        <v>30972.799999999999</v>
      </c>
      <c r="J13" s="78">
        <v>882168.61544000008</v>
      </c>
      <c r="K13" s="51">
        <v>744070.94678</v>
      </c>
      <c r="L13" s="77">
        <v>37295</v>
      </c>
      <c r="M13" s="77">
        <v>0</v>
      </c>
      <c r="N13" s="53">
        <f>(I13-M13)/(J13-K13-L13)</f>
        <v>0.30726170657712398</v>
      </c>
      <c r="O13" s="47">
        <f>IF(N13&lt;=1,1,0)</f>
        <v>1</v>
      </c>
      <c r="P13" s="48"/>
      <c r="Q13" s="49">
        <f>O13+P13</f>
        <v>1</v>
      </c>
      <c r="R13" s="79">
        <v>2534.451</v>
      </c>
      <c r="S13" s="77">
        <v>910078.96851999999</v>
      </c>
      <c r="T13" s="55">
        <v>193092.96959999998</v>
      </c>
      <c r="U13" s="46">
        <f>R13/(S13-T13)</f>
        <v>3.5348681896406032E-3</v>
      </c>
      <c r="V13" s="47">
        <f>IF(U13&lt;=0.15,1,0)</f>
        <v>1</v>
      </c>
      <c r="W13" s="48"/>
      <c r="X13" s="49">
        <f>V13+W13</f>
        <v>1</v>
      </c>
      <c r="Y13" s="77">
        <f>C13</f>
        <v>26845.047079999997</v>
      </c>
      <c r="Z13" s="58">
        <v>26080.9</v>
      </c>
      <c r="AA13" s="58">
        <v>764.1234300000001</v>
      </c>
      <c r="AB13" s="58"/>
      <c r="AC13" s="58">
        <f t="shared" si="5"/>
        <v>882168.61544000008</v>
      </c>
      <c r="AD13" s="58">
        <f t="shared" si="5"/>
        <v>744070.94678</v>
      </c>
      <c r="AE13" s="58">
        <f t="shared" si="5"/>
        <v>37295</v>
      </c>
      <c r="AF13" s="58">
        <f>AC13-AD13-AE13</f>
        <v>100802.66866000008</v>
      </c>
      <c r="AG13" s="58">
        <f>AF13*10%</f>
        <v>10080.266866000009</v>
      </c>
      <c r="AH13" s="58">
        <f>IF(AA13&gt;0,AA13,0)+AG13+IF(AB13&gt;0,AB13,0)</f>
        <v>10844.390296000009</v>
      </c>
      <c r="AI13" s="80">
        <f>IF((Y13-IF(Z13&gt;0,Z13,0)-IF(AA13&gt;0,AA13,0)-IF(AB13&gt;0,AB13,0))/(AC13-AD13-AE13)&gt;0,(Y13-IF(Z13&gt;0,Z13,0)-IF(AA13&gt;0,AA13,0)-IF(AB13&gt;0,AB13,0))/(AC13-AD13-AE13),0)</f>
        <v>2.3461680439092579E-7</v>
      </c>
      <c r="AJ13" s="60">
        <f>IF(AI13&lt;=0.1,1.5,0)</f>
        <v>1.5</v>
      </c>
      <c r="AK13" s="48"/>
      <c r="AL13" s="49">
        <f>AJ13+AK13</f>
        <v>1.5</v>
      </c>
      <c r="AM13" s="81">
        <v>16678.599999999999</v>
      </c>
      <c r="AN13" s="48">
        <v>18594.8</v>
      </c>
      <c r="AO13" s="64">
        <f>AM13/AN13</f>
        <v>0.89694968485813231</v>
      </c>
      <c r="AP13" s="65">
        <f>IF(AO13&lt;=1,1,0)</f>
        <v>1</v>
      </c>
      <c r="AQ13" s="48"/>
      <c r="AR13" s="66">
        <f>AP13+AQ13</f>
        <v>1</v>
      </c>
      <c r="AS13" s="81">
        <v>41220.400000000001</v>
      </c>
      <c r="AT13" s="48">
        <v>47242</v>
      </c>
      <c r="AU13" s="59">
        <f>AS13/AT13</f>
        <v>0.87253714914694558</v>
      </c>
      <c r="AV13" s="65">
        <f>IF(AU13&lt;=1,1,0)</f>
        <v>1</v>
      </c>
      <c r="AW13" s="48"/>
      <c r="AX13" s="66">
        <f>AV13+AW13</f>
        <v>1</v>
      </c>
      <c r="AY13" s="82">
        <f t="shared" si="23"/>
        <v>6.5</v>
      </c>
    </row>
    <row r="14" spans="1:51" s="6" customFormat="1" x14ac:dyDescent="0.2">
      <c r="A14" s="68" t="s">
        <v>65</v>
      </c>
      <c r="B14" s="77">
        <v>19500</v>
      </c>
      <c r="C14" s="77">
        <v>4652.1915499999996</v>
      </c>
      <c r="D14" s="77">
        <v>19500</v>
      </c>
      <c r="E14" s="46">
        <f>IF(AND(B14=0,D14=0),0,B14/(IF(C14&gt;0,C14,0)+D14))</f>
        <v>0.80738014849008599</v>
      </c>
      <c r="F14" s="47">
        <f>IF(E14&lt;=1.05,1,0)</f>
        <v>1</v>
      </c>
      <c r="G14" s="48"/>
      <c r="H14" s="49">
        <f>F14+G14</f>
        <v>1</v>
      </c>
      <c r="I14" s="45">
        <v>19500</v>
      </c>
      <c r="J14" s="78">
        <v>265545.32140000002</v>
      </c>
      <c r="K14" s="51">
        <v>174798.16955000002</v>
      </c>
      <c r="L14" s="77">
        <v>36338</v>
      </c>
      <c r="M14" s="77">
        <v>0</v>
      </c>
      <c r="N14" s="46">
        <f>(I14-M14)/(J14-K14-L14)</f>
        <v>0.35839558855391351</v>
      </c>
      <c r="O14" s="47">
        <f>IF(N14&lt;=1,1,0)</f>
        <v>1</v>
      </c>
      <c r="P14" s="48"/>
      <c r="Q14" s="49">
        <f>O14+P14</f>
        <v>1</v>
      </c>
      <c r="R14" s="83">
        <v>1691.6220000000001</v>
      </c>
      <c r="S14" s="77">
        <v>270197.51295</v>
      </c>
      <c r="T14" s="55">
        <v>95102.70898000001</v>
      </c>
      <c r="U14" s="46">
        <f>R14/(S14-T14)</f>
        <v>9.6611776114717569E-3</v>
      </c>
      <c r="V14" s="47">
        <f>IF(U14&lt;=0.15,1,0)</f>
        <v>1</v>
      </c>
      <c r="W14" s="48"/>
      <c r="X14" s="49">
        <f>V14+W14</f>
        <v>1</v>
      </c>
      <c r="Y14" s="77">
        <f>C14</f>
        <v>4652.1915499999996</v>
      </c>
      <c r="Z14" s="58"/>
      <c r="AA14" s="58">
        <v>4652.1915499999996</v>
      </c>
      <c r="AB14" s="58"/>
      <c r="AC14" s="58">
        <f t="shared" si="5"/>
        <v>265545.32140000002</v>
      </c>
      <c r="AD14" s="58">
        <f t="shared" si="5"/>
        <v>174798.16955000002</v>
      </c>
      <c r="AE14" s="58">
        <f t="shared" si="5"/>
        <v>36338</v>
      </c>
      <c r="AF14" s="58">
        <f>AC14-AD14-AE14</f>
        <v>54409.151849999995</v>
      </c>
      <c r="AG14" s="58">
        <f>AF14*10%</f>
        <v>5440.9151849999998</v>
      </c>
      <c r="AH14" s="58">
        <f>IF(AA14&gt;0,AA14,0)+AG14+IF(AB14&gt;0,AB14,0)</f>
        <v>10093.106734999999</v>
      </c>
      <c r="AI14" s="73">
        <f>IF((Y14-IF(Z14&gt;0,Z14,0)-IF(AA14&gt;0,AA14,0)-IF(AB14&gt;0,AB14,0))/(AC14-AD14-AE14)&gt;0,(Y14-IF(Z14&gt;0,Z14,0)-IF(AA14&gt;0,AA14,0)-IF(AB14&gt;0,AB14,0))/(AC14-AD14-AE14),0)</f>
        <v>0</v>
      </c>
      <c r="AJ14" s="60">
        <f>IF(AI14&lt;=0.1,1.5,0)</f>
        <v>1.5</v>
      </c>
      <c r="AK14" s="48"/>
      <c r="AL14" s="49">
        <f>AJ14+AK14</f>
        <v>1.5</v>
      </c>
      <c r="AM14" s="81">
        <v>9975.7000000000007</v>
      </c>
      <c r="AN14" s="48">
        <v>11443.4</v>
      </c>
      <c r="AO14" s="64">
        <f>AM14/AN14</f>
        <v>0.87174266389359811</v>
      </c>
      <c r="AP14" s="65">
        <f>IF(AO14&lt;=1,1,0)</f>
        <v>1</v>
      </c>
      <c r="AQ14" s="48"/>
      <c r="AR14" s="66">
        <f>AP14+AQ14</f>
        <v>1</v>
      </c>
      <c r="AS14" s="81">
        <v>23480.400000000001</v>
      </c>
      <c r="AT14" s="48">
        <v>27709.599999999999</v>
      </c>
      <c r="AU14" s="59">
        <f>AS14/AT14</f>
        <v>0.84737419522475976</v>
      </c>
      <c r="AV14" s="65">
        <f>IF(AU14&lt;=1,1,0)</f>
        <v>1</v>
      </c>
      <c r="AW14" s="48"/>
      <c r="AX14" s="66">
        <f>AV14+AW14</f>
        <v>1</v>
      </c>
      <c r="AY14" s="71">
        <f t="shared" si="23"/>
        <v>6.5</v>
      </c>
    </row>
    <row r="15" spans="1:51" s="6" customFormat="1" x14ac:dyDescent="0.2">
      <c r="A15" s="84" t="s">
        <v>66</v>
      </c>
      <c r="B15" s="85">
        <v>0</v>
      </c>
      <c r="C15" s="85">
        <v>3338.9358700000003</v>
      </c>
      <c r="D15" s="85">
        <v>0</v>
      </c>
      <c r="E15" s="86">
        <f t="shared" si="12"/>
        <v>0</v>
      </c>
      <c r="F15" s="87"/>
      <c r="G15" s="88">
        <f>IF(E15&lt;=1.05,1,0)</f>
        <v>1</v>
      </c>
      <c r="H15" s="89">
        <f t="shared" si="0"/>
        <v>1</v>
      </c>
      <c r="I15" s="85">
        <v>0</v>
      </c>
      <c r="J15" s="90">
        <v>356352.93556000001</v>
      </c>
      <c r="K15" s="91">
        <v>257684.58322</v>
      </c>
      <c r="L15" s="85">
        <v>64074</v>
      </c>
      <c r="M15" s="85">
        <v>0</v>
      </c>
      <c r="N15" s="86">
        <f t="shared" si="14"/>
        <v>0</v>
      </c>
      <c r="O15" s="87"/>
      <c r="P15" s="88">
        <f>IF(N15&lt;=0.5,1,0)</f>
        <v>1</v>
      </c>
      <c r="Q15" s="89">
        <f t="shared" si="2"/>
        <v>1</v>
      </c>
      <c r="R15" s="92">
        <v>0</v>
      </c>
      <c r="S15" s="85">
        <v>359691.87143</v>
      </c>
      <c r="T15" s="93">
        <v>150372.93827000001</v>
      </c>
      <c r="U15" s="86">
        <f t="shared" si="3"/>
        <v>0</v>
      </c>
      <c r="V15" s="87"/>
      <c r="W15" s="88">
        <f>IF(U15&lt;=0.15,1,0)</f>
        <v>1</v>
      </c>
      <c r="X15" s="89">
        <f t="shared" si="15"/>
        <v>1</v>
      </c>
      <c r="Y15" s="85">
        <f t="shared" si="16"/>
        <v>3338.9358700000003</v>
      </c>
      <c r="Z15" s="94"/>
      <c r="AA15" s="94">
        <v>3298.9352400000002</v>
      </c>
      <c r="AB15" s="94"/>
      <c r="AC15" s="94">
        <f t="shared" si="5"/>
        <v>356352.93556000001</v>
      </c>
      <c r="AD15" s="94">
        <f t="shared" si="5"/>
        <v>257684.58322</v>
      </c>
      <c r="AE15" s="94">
        <f t="shared" si="5"/>
        <v>64074</v>
      </c>
      <c r="AF15" s="94">
        <f t="shared" si="17"/>
        <v>34594.352340000012</v>
      </c>
      <c r="AG15" s="94">
        <f>AF15*5%</f>
        <v>1729.7176170000007</v>
      </c>
      <c r="AH15" s="94">
        <f t="shared" si="7"/>
        <v>5028.6528570000009</v>
      </c>
      <c r="AI15" s="95">
        <f t="shared" si="8"/>
        <v>1.156276307961081E-3</v>
      </c>
      <c r="AJ15" s="96"/>
      <c r="AK15" s="97">
        <f>IF(AI15&lt;=0.05,1.5,0)</f>
        <v>1.5</v>
      </c>
      <c r="AL15" s="89">
        <f t="shared" si="9"/>
        <v>1.5</v>
      </c>
      <c r="AM15" s="98">
        <v>11999.9</v>
      </c>
      <c r="AN15" s="88">
        <v>14651.6</v>
      </c>
      <c r="AO15" s="99">
        <f t="shared" si="10"/>
        <v>0.81901635316279442</v>
      </c>
      <c r="AP15" s="96"/>
      <c r="AQ15" s="97">
        <f>IF(AO15&lt;=1,1,0)</f>
        <v>1</v>
      </c>
      <c r="AR15" s="100">
        <f t="shared" si="20"/>
        <v>1</v>
      </c>
      <c r="AS15" s="98">
        <v>32255.599999999999</v>
      </c>
      <c r="AT15" s="88">
        <v>36362.9</v>
      </c>
      <c r="AU15" s="95">
        <f t="shared" si="21"/>
        <v>0.88704696270099459</v>
      </c>
      <c r="AV15" s="96"/>
      <c r="AW15" s="97">
        <f>IF(AU15&lt;=1,1,0)</f>
        <v>1</v>
      </c>
      <c r="AX15" s="100">
        <f t="shared" si="11"/>
        <v>1</v>
      </c>
      <c r="AY15" s="101">
        <f t="shared" si="23"/>
        <v>6.5</v>
      </c>
    </row>
    <row r="16" spans="1:51" s="6" customFormat="1" x14ac:dyDescent="0.2">
      <c r="A16" s="74" t="s">
        <v>67</v>
      </c>
      <c r="B16" s="45">
        <v>96714.5</v>
      </c>
      <c r="C16" s="45">
        <v>37210.617700000003</v>
      </c>
      <c r="D16" s="45">
        <v>99429</v>
      </c>
      <c r="E16" s="53">
        <f t="shared" si="12"/>
        <v>0.70780716184629666</v>
      </c>
      <c r="F16" s="47">
        <f t="shared" si="13"/>
        <v>1</v>
      </c>
      <c r="G16" s="61"/>
      <c r="H16" s="62">
        <f t="shared" si="0"/>
        <v>1</v>
      </c>
      <c r="I16" s="45">
        <v>58000</v>
      </c>
      <c r="J16" s="50">
        <v>1387696.5787599999</v>
      </c>
      <c r="K16" s="51">
        <v>985101.33675999998</v>
      </c>
      <c r="L16" s="45">
        <v>219505</v>
      </c>
      <c r="M16" s="45">
        <v>0</v>
      </c>
      <c r="N16" s="53">
        <f t="shared" si="14"/>
        <v>0.31678367654350476</v>
      </c>
      <c r="O16" s="47">
        <f t="shared" si="1"/>
        <v>1</v>
      </c>
      <c r="P16" s="61"/>
      <c r="Q16" s="62">
        <f t="shared" si="2"/>
        <v>1</v>
      </c>
      <c r="R16" s="70">
        <v>4436.5299800000003</v>
      </c>
      <c r="S16" s="45">
        <v>1425729.27046</v>
      </c>
      <c r="T16" s="55">
        <v>603258.22357999999</v>
      </c>
      <c r="U16" s="53">
        <f t="shared" si="3"/>
        <v>5.394147303822718E-3</v>
      </c>
      <c r="V16" s="47">
        <f t="shared" si="4"/>
        <v>1</v>
      </c>
      <c r="W16" s="61"/>
      <c r="X16" s="62">
        <f t="shared" si="15"/>
        <v>1</v>
      </c>
      <c r="Y16" s="45">
        <f t="shared" si="16"/>
        <v>37210.617700000003</v>
      </c>
      <c r="Z16" s="57"/>
      <c r="AA16" s="57">
        <v>39925.117700000003</v>
      </c>
      <c r="AB16" s="57"/>
      <c r="AC16" s="57">
        <f t="shared" si="5"/>
        <v>1387696.5787599999</v>
      </c>
      <c r="AD16" s="57">
        <f t="shared" si="5"/>
        <v>985101.33675999998</v>
      </c>
      <c r="AE16" s="57">
        <f t="shared" si="5"/>
        <v>219505</v>
      </c>
      <c r="AF16" s="57">
        <f t="shared" si="17"/>
        <v>183090.24199999997</v>
      </c>
      <c r="AG16" s="58">
        <f t="shared" si="6"/>
        <v>18309.024199999996</v>
      </c>
      <c r="AH16" s="57">
        <f>IF(AA16&gt;0,AA16,0)+AG16+IF(AB16&gt;0,AB16,0)</f>
        <v>58234.141900000002</v>
      </c>
      <c r="AI16" s="73">
        <f t="shared" si="8"/>
        <v>0</v>
      </c>
      <c r="AJ16" s="60">
        <f t="shared" si="18"/>
        <v>1.5</v>
      </c>
      <c r="AK16" s="61"/>
      <c r="AL16" s="62">
        <f t="shared" si="9"/>
        <v>1.5</v>
      </c>
      <c r="AM16" s="63">
        <v>33872.699999999997</v>
      </c>
      <c r="AN16" s="61">
        <v>34833.1</v>
      </c>
      <c r="AO16" s="72">
        <f t="shared" si="10"/>
        <v>0.97242852344465458</v>
      </c>
      <c r="AP16" s="65">
        <f t="shared" si="19"/>
        <v>1</v>
      </c>
      <c r="AQ16" s="61"/>
      <c r="AR16" s="76">
        <f t="shared" si="20"/>
        <v>1</v>
      </c>
      <c r="AS16" s="63">
        <v>85459.4</v>
      </c>
      <c r="AT16" s="61">
        <v>86692.9</v>
      </c>
      <c r="AU16" s="73">
        <f t="shared" si="21"/>
        <v>0.98577161451514483</v>
      </c>
      <c r="AV16" s="65">
        <f t="shared" si="22"/>
        <v>1</v>
      </c>
      <c r="AW16" s="61"/>
      <c r="AX16" s="76">
        <f t="shared" si="11"/>
        <v>1</v>
      </c>
      <c r="AY16" s="71">
        <f t="shared" si="23"/>
        <v>6.5</v>
      </c>
    </row>
    <row r="17" spans="1:51" s="6" customFormat="1" x14ac:dyDescent="0.2">
      <c r="A17" s="74" t="s">
        <v>68</v>
      </c>
      <c r="B17" s="45">
        <v>0</v>
      </c>
      <c r="C17" s="45">
        <v>4648.9541100000006</v>
      </c>
      <c r="D17" s="45">
        <v>0</v>
      </c>
      <c r="E17" s="53">
        <f t="shared" si="12"/>
        <v>0</v>
      </c>
      <c r="F17" s="47">
        <f t="shared" si="13"/>
        <v>1</v>
      </c>
      <c r="G17" s="61"/>
      <c r="H17" s="62">
        <f t="shared" si="0"/>
        <v>1</v>
      </c>
      <c r="I17" s="45">
        <v>0</v>
      </c>
      <c r="J17" s="50">
        <v>390679.82542000001</v>
      </c>
      <c r="K17" s="51">
        <v>252931.02793000001</v>
      </c>
      <c r="L17" s="45">
        <v>44645</v>
      </c>
      <c r="M17" s="45">
        <v>0</v>
      </c>
      <c r="N17" s="53">
        <f t="shared" si="14"/>
        <v>0</v>
      </c>
      <c r="O17" s="47">
        <f>IF(N17&lt;=1,1,0)</f>
        <v>1</v>
      </c>
      <c r="P17" s="61"/>
      <c r="Q17" s="62">
        <f>O17+P17</f>
        <v>1</v>
      </c>
      <c r="R17" s="70">
        <v>0</v>
      </c>
      <c r="S17" s="45">
        <v>395640.10152999999</v>
      </c>
      <c r="T17" s="55">
        <v>179974.46436000001</v>
      </c>
      <c r="U17" s="53">
        <f t="shared" si="3"/>
        <v>0</v>
      </c>
      <c r="V17" s="47">
        <f>IF(U17&lt;=0.15,1,0)</f>
        <v>1</v>
      </c>
      <c r="W17" s="61"/>
      <c r="X17" s="62">
        <f t="shared" si="15"/>
        <v>1</v>
      </c>
      <c r="Y17" s="45">
        <f t="shared" si="16"/>
        <v>4648.9541100000006</v>
      </c>
      <c r="Z17" s="57"/>
      <c r="AA17" s="57">
        <v>4648.9541100000006</v>
      </c>
      <c r="AB17" s="57"/>
      <c r="AC17" s="57">
        <f t="shared" si="5"/>
        <v>390679.82542000001</v>
      </c>
      <c r="AD17" s="57">
        <f t="shared" si="5"/>
        <v>252931.02793000001</v>
      </c>
      <c r="AE17" s="57">
        <f t="shared" si="5"/>
        <v>44645</v>
      </c>
      <c r="AF17" s="57">
        <f t="shared" si="17"/>
        <v>93103.797489999997</v>
      </c>
      <c r="AG17" s="58">
        <f t="shared" si="6"/>
        <v>9310.3797489999997</v>
      </c>
      <c r="AH17" s="57">
        <f t="shared" ref="AH17:AH40" si="24">IF(AA17&gt;0,AA17,0)+AG17+IF(AB17&gt;0,AB17,0)</f>
        <v>13959.333859</v>
      </c>
      <c r="AI17" s="73">
        <f t="shared" si="8"/>
        <v>0</v>
      </c>
      <c r="AJ17" s="60">
        <f t="shared" si="18"/>
        <v>1.5</v>
      </c>
      <c r="AK17" s="61"/>
      <c r="AL17" s="62">
        <f t="shared" si="9"/>
        <v>1.5</v>
      </c>
      <c r="AM17" s="63">
        <v>32827.599999999999</v>
      </c>
      <c r="AN17" s="61">
        <v>34833.1</v>
      </c>
      <c r="AO17" s="72">
        <f t="shared" si="10"/>
        <v>0.94242545165374314</v>
      </c>
      <c r="AP17" s="65">
        <f t="shared" si="19"/>
        <v>1</v>
      </c>
      <c r="AQ17" s="61"/>
      <c r="AR17" s="76">
        <f>AP17+AQ17</f>
        <v>1</v>
      </c>
      <c r="AS17" s="63">
        <v>67793.2</v>
      </c>
      <c r="AT17" s="61">
        <v>86692.9</v>
      </c>
      <c r="AU17" s="73">
        <f t="shared" si="21"/>
        <v>0.78199252764643934</v>
      </c>
      <c r="AV17" s="65">
        <f t="shared" si="22"/>
        <v>1</v>
      </c>
      <c r="AW17" s="61"/>
      <c r="AX17" s="76">
        <f t="shared" si="11"/>
        <v>1</v>
      </c>
      <c r="AY17" s="71">
        <f t="shared" si="23"/>
        <v>6.5</v>
      </c>
    </row>
    <row r="18" spans="1:51" s="6" customFormat="1" x14ac:dyDescent="0.2">
      <c r="A18" s="84" t="s">
        <v>69</v>
      </c>
      <c r="B18" s="85">
        <v>0</v>
      </c>
      <c r="C18" s="85">
        <v>2944.4605000000001</v>
      </c>
      <c r="D18" s="85">
        <v>0</v>
      </c>
      <c r="E18" s="86">
        <f t="shared" si="12"/>
        <v>0</v>
      </c>
      <c r="F18" s="87"/>
      <c r="G18" s="88">
        <f t="shared" ref="G18:G39" si="25">IF(E18&lt;=1.05,1,0)</f>
        <v>1</v>
      </c>
      <c r="H18" s="89">
        <f t="shared" si="0"/>
        <v>1</v>
      </c>
      <c r="I18" s="85">
        <v>0</v>
      </c>
      <c r="J18" s="90">
        <v>245679.63588999998</v>
      </c>
      <c r="K18" s="91">
        <v>211757.94788999998</v>
      </c>
      <c r="L18" s="85">
        <v>20261</v>
      </c>
      <c r="M18" s="85">
        <v>0</v>
      </c>
      <c r="N18" s="86">
        <f t="shared" si="14"/>
        <v>0</v>
      </c>
      <c r="O18" s="87"/>
      <c r="P18" s="88">
        <f t="shared" ref="P18:P39" si="26">IF(N18&lt;=0.5,1,0)</f>
        <v>1</v>
      </c>
      <c r="Q18" s="89">
        <f>O18+P18</f>
        <v>1</v>
      </c>
      <c r="R18" s="102">
        <v>0</v>
      </c>
      <c r="S18" s="85">
        <v>248624.09638999999</v>
      </c>
      <c r="T18" s="93">
        <v>103323.08584999999</v>
      </c>
      <c r="U18" s="86">
        <f t="shared" si="3"/>
        <v>0</v>
      </c>
      <c r="V18" s="87"/>
      <c r="W18" s="88">
        <f t="shared" ref="W18:W39" si="27">IF(U18&lt;=0.15,1,0)</f>
        <v>1</v>
      </c>
      <c r="X18" s="89">
        <f t="shared" si="15"/>
        <v>1</v>
      </c>
      <c r="Y18" s="85">
        <f t="shared" si="16"/>
        <v>2944.4605000000001</v>
      </c>
      <c r="Z18" s="94"/>
      <c r="AA18" s="94">
        <v>2944.4605000000001</v>
      </c>
      <c r="AB18" s="94"/>
      <c r="AC18" s="94">
        <f t="shared" si="5"/>
        <v>245679.63588999998</v>
      </c>
      <c r="AD18" s="94">
        <f t="shared" si="5"/>
        <v>211757.94788999998</v>
      </c>
      <c r="AE18" s="94">
        <f t="shared" si="5"/>
        <v>20261</v>
      </c>
      <c r="AF18" s="94">
        <f t="shared" si="17"/>
        <v>13660.687999999995</v>
      </c>
      <c r="AG18" s="94">
        <f>AF18*10%</f>
        <v>1366.0687999999996</v>
      </c>
      <c r="AH18" s="94">
        <f t="shared" si="24"/>
        <v>4310.5293000000001</v>
      </c>
      <c r="AI18" s="95">
        <f t="shared" si="8"/>
        <v>0</v>
      </c>
      <c r="AJ18" s="96"/>
      <c r="AK18" s="97">
        <f t="shared" ref="AK18:AK34" si="28">IF(AI18&lt;=0.05,1.5,0)</f>
        <v>1.5</v>
      </c>
      <c r="AL18" s="89">
        <f t="shared" si="9"/>
        <v>1.5</v>
      </c>
      <c r="AM18" s="98">
        <v>13413.4</v>
      </c>
      <c r="AN18" s="88">
        <v>15074.2</v>
      </c>
      <c r="AO18" s="99">
        <f t="shared" si="10"/>
        <v>0.88982499900492229</v>
      </c>
      <c r="AP18" s="96"/>
      <c r="AQ18" s="97">
        <f t="shared" ref="AQ18:AQ34" si="29">IF(AO18&lt;=1,1,0)</f>
        <v>1</v>
      </c>
      <c r="AR18" s="100">
        <f>AP18+AQ18</f>
        <v>1</v>
      </c>
      <c r="AS18" s="98">
        <v>31707.7</v>
      </c>
      <c r="AT18" s="88">
        <v>34543.9</v>
      </c>
      <c r="AU18" s="95">
        <f t="shared" si="21"/>
        <v>0.91789577899426522</v>
      </c>
      <c r="AV18" s="96"/>
      <c r="AW18" s="97">
        <f t="shared" ref="AW18:AW34" si="30">IF(AU18&lt;=1,1,0)</f>
        <v>1</v>
      </c>
      <c r="AX18" s="100">
        <f t="shared" si="11"/>
        <v>1</v>
      </c>
      <c r="AY18" s="101">
        <f t="shared" si="23"/>
        <v>6.5</v>
      </c>
    </row>
    <row r="19" spans="1:51" s="6" customFormat="1" x14ac:dyDescent="0.2">
      <c r="A19" s="84" t="s">
        <v>70</v>
      </c>
      <c r="B19" s="85">
        <v>0</v>
      </c>
      <c r="C19" s="85">
        <v>1050.9304099999999</v>
      </c>
      <c r="D19" s="85">
        <v>0</v>
      </c>
      <c r="E19" s="86">
        <f t="shared" si="12"/>
        <v>0</v>
      </c>
      <c r="F19" s="87"/>
      <c r="G19" s="88">
        <f t="shared" si="25"/>
        <v>1</v>
      </c>
      <c r="H19" s="89">
        <f t="shared" si="0"/>
        <v>1</v>
      </c>
      <c r="I19" s="85">
        <v>0</v>
      </c>
      <c r="J19" s="90">
        <v>312009.38537000003</v>
      </c>
      <c r="K19" s="91">
        <v>220992.38537</v>
      </c>
      <c r="L19" s="85">
        <v>53028</v>
      </c>
      <c r="M19" s="85">
        <v>0</v>
      </c>
      <c r="N19" s="86">
        <f t="shared" si="14"/>
        <v>0</v>
      </c>
      <c r="O19" s="87"/>
      <c r="P19" s="88">
        <f t="shared" si="26"/>
        <v>1</v>
      </c>
      <c r="Q19" s="89">
        <f t="shared" si="2"/>
        <v>1</v>
      </c>
      <c r="R19" s="102">
        <v>0</v>
      </c>
      <c r="S19" s="85">
        <v>313408.68977999996</v>
      </c>
      <c r="T19" s="93">
        <v>147643.1159</v>
      </c>
      <c r="U19" s="86">
        <f t="shared" si="3"/>
        <v>0</v>
      </c>
      <c r="V19" s="87"/>
      <c r="W19" s="88">
        <f t="shared" si="27"/>
        <v>1</v>
      </c>
      <c r="X19" s="89">
        <f t="shared" si="15"/>
        <v>1</v>
      </c>
      <c r="Y19" s="85">
        <f t="shared" si="16"/>
        <v>1050.9304099999999</v>
      </c>
      <c r="Z19" s="94"/>
      <c r="AA19" s="94">
        <v>1050.9304099999999</v>
      </c>
      <c r="AB19" s="94"/>
      <c r="AC19" s="94">
        <f t="shared" si="5"/>
        <v>312009.38537000003</v>
      </c>
      <c r="AD19" s="94">
        <f t="shared" si="5"/>
        <v>220992.38537</v>
      </c>
      <c r="AE19" s="94">
        <f t="shared" si="5"/>
        <v>53028</v>
      </c>
      <c r="AF19" s="94">
        <f t="shared" si="17"/>
        <v>37989.000000000029</v>
      </c>
      <c r="AG19" s="94">
        <f>AF19*10%</f>
        <v>3798.9000000000033</v>
      </c>
      <c r="AH19" s="94">
        <f t="shared" si="24"/>
        <v>4849.8304100000032</v>
      </c>
      <c r="AI19" s="95">
        <f t="shared" si="8"/>
        <v>0</v>
      </c>
      <c r="AJ19" s="96"/>
      <c r="AK19" s="97">
        <f t="shared" si="28"/>
        <v>1.5</v>
      </c>
      <c r="AL19" s="89">
        <f t="shared" si="9"/>
        <v>1.5</v>
      </c>
      <c r="AM19" s="98">
        <v>8967.4</v>
      </c>
      <c r="AN19" s="88">
        <v>13089.6</v>
      </c>
      <c r="AO19" s="99">
        <f t="shared" si="10"/>
        <v>0.68507823004522672</v>
      </c>
      <c r="AP19" s="96"/>
      <c r="AQ19" s="97">
        <f t="shared" si="29"/>
        <v>1</v>
      </c>
      <c r="AR19" s="100">
        <f t="shared" si="20"/>
        <v>1</v>
      </c>
      <c r="AS19" s="98">
        <v>22836.6</v>
      </c>
      <c r="AT19" s="88">
        <v>32830.300000000003</v>
      </c>
      <c r="AU19" s="95">
        <f t="shared" si="21"/>
        <v>0.69559522757940062</v>
      </c>
      <c r="AV19" s="96"/>
      <c r="AW19" s="97">
        <f t="shared" si="30"/>
        <v>1</v>
      </c>
      <c r="AX19" s="100">
        <f t="shared" si="11"/>
        <v>1</v>
      </c>
      <c r="AY19" s="101">
        <f t="shared" si="23"/>
        <v>6.5</v>
      </c>
    </row>
    <row r="20" spans="1:51" s="6" customFormat="1" x14ac:dyDescent="0.2">
      <c r="A20" s="84" t="s">
        <v>71</v>
      </c>
      <c r="B20" s="85">
        <v>25000</v>
      </c>
      <c r="C20" s="85">
        <v>2407.1750499999998</v>
      </c>
      <c r="D20" s="85">
        <v>25000</v>
      </c>
      <c r="E20" s="86">
        <f>IF(AND(B20=0,D20=0),0,B20/(IF(C20&gt;0,C20,0)+D20))</f>
        <v>0.91216989545224958</v>
      </c>
      <c r="F20" s="87"/>
      <c r="G20" s="88">
        <f>IF(E20&lt;=1.05,1,0)</f>
        <v>1</v>
      </c>
      <c r="H20" s="89">
        <f>F20+G20</f>
        <v>1</v>
      </c>
      <c r="I20" s="85">
        <v>25000</v>
      </c>
      <c r="J20" s="90">
        <v>907785.39778</v>
      </c>
      <c r="K20" s="91">
        <v>657407.99777999998</v>
      </c>
      <c r="L20" s="85">
        <v>187718</v>
      </c>
      <c r="M20" s="85">
        <v>0</v>
      </c>
      <c r="N20" s="86">
        <f>(I20-M20)/(J20-K20-L20)</f>
        <v>0.39898243519727272</v>
      </c>
      <c r="O20" s="87"/>
      <c r="P20" s="88">
        <f>IF(N20&lt;=0.5,1,0)</f>
        <v>1</v>
      </c>
      <c r="Q20" s="89">
        <f>O20+P20</f>
        <v>1</v>
      </c>
      <c r="R20" s="102">
        <v>1969.40906</v>
      </c>
      <c r="S20" s="85">
        <v>910192.57283000008</v>
      </c>
      <c r="T20" s="93">
        <v>429584.67937999999</v>
      </c>
      <c r="U20" s="86">
        <f>R20/(S20-T20)</f>
        <v>4.0977459730483744E-3</v>
      </c>
      <c r="V20" s="87"/>
      <c r="W20" s="88">
        <f>IF(U20&lt;=0.15,1,0)</f>
        <v>1</v>
      </c>
      <c r="X20" s="89">
        <f>V20+W20</f>
        <v>1</v>
      </c>
      <c r="Y20" s="85">
        <f>C20</f>
        <v>2407.1750499999998</v>
      </c>
      <c r="Z20" s="94"/>
      <c r="AA20" s="94">
        <v>2407.1750499999998</v>
      </c>
      <c r="AB20" s="94"/>
      <c r="AC20" s="94">
        <f>J20</f>
        <v>907785.39778</v>
      </c>
      <c r="AD20" s="94">
        <f>K20</f>
        <v>657407.99777999998</v>
      </c>
      <c r="AE20" s="94">
        <f>L20</f>
        <v>187718</v>
      </c>
      <c r="AF20" s="94">
        <f>AC20-AD20-AE20</f>
        <v>62659.400000000023</v>
      </c>
      <c r="AG20" s="94">
        <f>AF20*10%</f>
        <v>6265.9400000000023</v>
      </c>
      <c r="AH20" s="94">
        <f>IF(AA20&gt;0,AA20,0)+AG20+IF(AB20&gt;0,AB20,0)</f>
        <v>8673.1150500000022</v>
      </c>
      <c r="AI20" s="95">
        <f>IF((Y20-IF(Z20&gt;0,Z20,0)-IF(AA20&gt;0,AA20,0)-IF(AB20&gt;0,AB20,0))/(AC20-AD20-AE20)&gt;0,(Y20-IF(Z20&gt;0,Z20,0)-IF(AA20&gt;0,AA20,0)-IF(AB20&gt;0,AB20,0))/(AC20-AD20-AE20),0)</f>
        <v>0</v>
      </c>
      <c r="AJ20" s="96"/>
      <c r="AK20" s="97">
        <f>IF(AI20&lt;=0.05,1.5,0)</f>
        <v>1.5</v>
      </c>
      <c r="AL20" s="89">
        <f>AJ20+AK20</f>
        <v>1.5</v>
      </c>
      <c r="AM20" s="98">
        <v>12551.9</v>
      </c>
      <c r="AN20" s="88">
        <v>14651.6</v>
      </c>
      <c r="AO20" s="99">
        <f>AM20/AN20</f>
        <v>0.85669141936716808</v>
      </c>
      <c r="AP20" s="96"/>
      <c r="AQ20" s="97">
        <f>IF(AO20&lt;=1,1,0)</f>
        <v>1</v>
      </c>
      <c r="AR20" s="100">
        <f>AP20+AQ20</f>
        <v>1</v>
      </c>
      <c r="AS20" s="98">
        <v>32629.599999999999</v>
      </c>
      <c r="AT20" s="88">
        <v>36362.9</v>
      </c>
      <c r="AU20" s="95">
        <f>AS20/AT20</f>
        <v>0.89733217097646223</v>
      </c>
      <c r="AV20" s="96"/>
      <c r="AW20" s="97">
        <f>IF(AU20&lt;=1,1,0)</f>
        <v>1</v>
      </c>
      <c r="AX20" s="100">
        <f>AV20+AW20</f>
        <v>1</v>
      </c>
      <c r="AY20" s="101">
        <f t="shared" si="23"/>
        <v>6.5</v>
      </c>
    </row>
    <row r="21" spans="1:51" s="6" customFormat="1" x14ac:dyDescent="0.2">
      <c r="A21" s="84" t="s">
        <v>72</v>
      </c>
      <c r="B21" s="85">
        <v>0</v>
      </c>
      <c r="C21" s="85">
        <v>4592.0136500000008</v>
      </c>
      <c r="D21" s="85">
        <v>0</v>
      </c>
      <c r="E21" s="86">
        <f t="shared" si="12"/>
        <v>0</v>
      </c>
      <c r="F21" s="87"/>
      <c r="G21" s="88">
        <f t="shared" si="25"/>
        <v>1</v>
      </c>
      <c r="H21" s="89">
        <f t="shared" si="0"/>
        <v>1</v>
      </c>
      <c r="I21" s="85">
        <v>0</v>
      </c>
      <c r="J21" s="90">
        <v>191947.30205</v>
      </c>
      <c r="K21" s="91">
        <v>143652.64205000002</v>
      </c>
      <c r="L21" s="85">
        <v>27788</v>
      </c>
      <c r="M21" s="85">
        <v>0</v>
      </c>
      <c r="N21" s="86">
        <f t="shared" si="14"/>
        <v>0</v>
      </c>
      <c r="O21" s="87"/>
      <c r="P21" s="88">
        <f t="shared" si="26"/>
        <v>1</v>
      </c>
      <c r="Q21" s="89">
        <f t="shared" si="2"/>
        <v>1</v>
      </c>
      <c r="R21" s="102">
        <v>0</v>
      </c>
      <c r="S21" s="85">
        <v>196810.80769999998</v>
      </c>
      <c r="T21" s="93">
        <v>75295.51920000001</v>
      </c>
      <c r="U21" s="86">
        <f t="shared" si="3"/>
        <v>0</v>
      </c>
      <c r="V21" s="87"/>
      <c r="W21" s="88">
        <f t="shared" si="27"/>
        <v>1</v>
      </c>
      <c r="X21" s="89">
        <f t="shared" si="15"/>
        <v>1</v>
      </c>
      <c r="Y21" s="85">
        <f t="shared" si="16"/>
        <v>4592.0136500000008</v>
      </c>
      <c r="Z21" s="94"/>
      <c r="AA21" s="94">
        <v>4592.0136500000008</v>
      </c>
      <c r="AB21" s="94"/>
      <c r="AC21" s="94">
        <f t="shared" si="5"/>
        <v>191947.30205</v>
      </c>
      <c r="AD21" s="94">
        <f t="shared" si="5"/>
        <v>143652.64205000002</v>
      </c>
      <c r="AE21" s="94">
        <f t="shared" si="5"/>
        <v>27788</v>
      </c>
      <c r="AF21" s="94">
        <f t="shared" si="17"/>
        <v>20506.659999999974</v>
      </c>
      <c r="AG21" s="94">
        <f>AF21*5%</f>
        <v>1025.3329999999987</v>
      </c>
      <c r="AH21" s="94">
        <f t="shared" si="24"/>
        <v>5617.3466499999995</v>
      </c>
      <c r="AI21" s="95">
        <f t="shared" si="8"/>
        <v>0</v>
      </c>
      <c r="AJ21" s="87"/>
      <c r="AK21" s="97">
        <f t="shared" si="28"/>
        <v>1.5</v>
      </c>
      <c r="AL21" s="89">
        <f t="shared" si="9"/>
        <v>1.5</v>
      </c>
      <c r="AM21" s="98">
        <v>9477.5</v>
      </c>
      <c r="AN21" s="88">
        <v>12006.7</v>
      </c>
      <c r="AO21" s="99">
        <f t="shared" si="10"/>
        <v>0.78935094572197184</v>
      </c>
      <c r="AP21" s="87"/>
      <c r="AQ21" s="97">
        <f t="shared" si="29"/>
        <v>1</v>
      </c>
      <c r="AR21" s="100">
        <f t="shared" si="20"/>
        <v>1</v>
      </c>
      <c r="AS21" s="98">
        <v>24963.3</v>
      </c>
      <c r="AT21" s="88">
        <v>30410.2</v>
      </c>
      <c r="AU21" s="95">
        <f t="shared" si="21"/>
        <v>0.82088575543732034</v>
      </c>
      <c r="AV21" s="87"/>
      <c r="AW21" s="97">
        <f t="shared" si="30"/>
        <v>1</v>
      </c>
      <c r="AX21" s="100">
        <f t="shared" si="11"/>
        <v>1</v>
      </c>
      <c r="AY21" s="101">
        <f t="shared" si="23"/>
        <v>6.5</v>
      </c>
    </row>
    <row r="22" spans="1:51" s="6" customFormat="1" x14ac:dyDescent="0.2">
      <c r="A22" s="84" t="s">
        <v>73</v>
      </c>
      <c r="B22" s="85">
        <v>0</v>
      </c>
      <c r="C22" s="85">
        <v>2352.6241600000003</v>
      </c>
      <c r="D22" s="85">
        <v>0</v>
      </c>
      <c r="E22" s="86">
        <f t="shared" si="12"/>
        <v>0</v>
      </c>
      <c r="F22" s="87"/>
      <c r="G22" s="88">
        <f t="shared" si="25"/>
        <v>1</v>
      </c>
      <c r="H22" s="89">
        <f t="shared" si="0"/>
        <v>1</v>
      </c>
      <c r="I22" s="85">
        <v>0</v>
      </c>
      <c r="J22" s="90">
        <v>761398.36895000003</v>
      </c>
      <c r="K22" s="91">
        <v>610238.0689500001</v>
      </c>
      <c r="L22" s="85">
        <v>92728</v>
      </c>
      <c r="M22" s="85">
        <v>0</v>
      </c>
      <c r="N22" s="86">
        <f t="shared" si="14"/>
        <v>0</v>
      </c>
      <c r="O22" s="87"/>
      <c r="P22" s="88">
        <f t="shared" si="26"/>
        <v>1</v>
      </c>
      <c r="Q22" s="89">
        <f t="shared" si="2"/>
        <v>1</v>
      </c>
      <c r="R22" s="102">
        <v>0</v>
      </c>
      <c r="S22" s="85">
        <v>763750.99311000004</v>
      </c>
      <c r="T22" s="93">
        <v>267902.71611000004</v>
      </c>
      <c r="U22" s="86">
        <f t="shared" si="3"/>
        <v>0</v>
      </c>
      <c r="V22" s="87"/>
      <c r="W22" s="88">
        <f t="shared" si="27"/>
        <v>1</v>
      </c>
      <c r="X22" s="89">
        <f t="shared" si="15"/>
        <v>1</v>
      </c>
      <c r="Y22" s="85">
        <f t="shared" si="16"/>
        <v>2352.6241600000003</v>
      </c>
      <c r="Z22" s="94"/>
      <c r="AA22" s="94">
        <v>2352.6241600000003</v>
      </c>
      <c r="AB22" s="94"/>
      <c r="AC22" s="94">
        <f t="shared" si="5"/>
        <v>761398.36895000003</v>
      </c>
      <c r="AD22" s="94">
        <f t="shared" si="5"/>
        <v>610238.0689500001</v>
      </c>
      <c r="AE22" s="94">
        <f t="shared" si="5"/>
        <v>92728</v>
      </c>
      <c r="AF22" s="94">
        <f t="shared" si="17"/>
        <v>58432.29999999993</v>
      </c>
      <c r="AG22" s="94">
        <f>AF22*10%</f>
        <v>5843.2299999999932</v>
      </c>
      <c r="AH22" s="94">
        <f t="shared" si="24"/>
        <v>8195.8541599999935</v>
      </c>
      <c r="AI22" s="95">
        <f t="shared" si="8"/>
        <v>0</v>
      </c>
      <c r="AJ22" s="96"/>
      <c r="AK22" s="97">
        <f t="shared" si="28"/>
        <v>1.5</v>
      </c>
      <c r="AL22" s="89">
        <f t="shared" si="9"/>
        <v>1.5</v>
      </c>
      <c r="AM22" s="98">
        <v>18285.5</v>
      </c>
      <c r="AN22" s="88">
        <v>20866.099999999999</v>
      </c>
      <c r="AO22" s="99">
        <f t="shared" si="10"/>
        <v>0.87632571491558087</v>
      </c>
      <c r="AP22" s="96"/>
      <c r="AQ22" s="97">
        <f t="shared" si="29"/>
        <v>1</v>
      </c>
      <c r="AR22" s="100">
        <f t="shared" si="20"/>
        <v>1</v>
      </c>
      <c r="AS22" s="98">
        <v>41831.199999999997</v>
      </c>
      <c r="AT22" s="88">
        <v>47892.9</v>
      </c>
      <c r="AU22" s="95">
        <f t="shared" si="21"/>
        <v>0.87343217888246472</v>
      </c>
      <c r="AV22" s="96"/>
      <c r="AW22" s="97">
        <f t="shared" si="30"/>
        <v>1</v>
      </c>
      <c r="AX22" s="100">
        <f t="shared" si="11"/>
        <v>1</v>
      </c>
      <c r="AY22" s="101">
        <f t="shared" si="23"/>
        <v>6.5</v>
      </c>
    </row>
    <row r="23" spans="1:51" s="6" customFormat="1" x14ac:dyDescent="0.2">
      <c r="A23" s="84" t="s">
        <v>74</v>
      </c>
      <c r="B23" s="85">
        <v>0</v>
      </c>
      <c r="C23" s="85">
        <v>7354.8405899999998</v>
      </c>
      <c r="D23" s="85">
        <v>0</v>
      </c>
      <c r="E23" s="86">
        <f t="shared" si="12"/>
        <v>0</v>
      </c>
      <c r="F23" s="87"/>
      <c r="G23" s="88">
        <f t="shared" si="25"/>
        <v>1</v>
      </c>
      <c r="H23" s="89">
        <f t="shared" si="0"/>
        <v>1</v>
      </c>
      <c r="I23" s="85">
        <v>0</v>
      </c>
      <c r="J23" s="90">
        <v>236908.7414</v>
      </c>
      <c r="K23" s="91">
        <v>185084.57764999999</v>
      </c>
      <c r="L23" s="85">
        <v>39999</v>
      </c>
      <c r="M23" s="85">
        <v>0</v>
      </c>
      <c r="N23" s="86">
        <f t="shared" si="14"/>
        <v>0</v>
      </c>
      <c r="O23" s="87"/>
      <c r="P23" s="88">
        <f t="shared" si="26"/>
        <v>1</v>
      </c>
      <c r="Q23" s="89">
        <f t="shared" si="2"/>
        <v>1</v>
      </c>
      <c r="R23" s="102">
        <v>0</v>
      </c>
      <c r="S23" s="85">
        <v>244436.30599000002</v>
      </c>
      <c r="T23" s="93">
        <v>127548.32398</v>
      </c>
      <c r="U23" s="86">
        <f t="shared" si="3"/>
        <v>0</v>
      </c>
      <c r="V23" s="87"/>
      <c r="W23" s="88">
        <f t="shared" si="27"/>
        <v>1</v>
      </c>
      <c r="X23" s="89">
        <f t="shared" si="15"/>
        <v>1</v>
      </c>
      <c r="Y23" s="85">
        <f t="shared" si="16"/>
        <v>7354.8405899999998</v>
      </c>
      <c r="Z23" s="94"/>
      <c r="AA23" s="94">
        <v>7354.8405899999998</v>
      </c>
      <c r="AB23" s="94"/>
      <c r="AC23" s="94">
        <f t="shared" si="5"/>
        <v>236908.7414</v>
      </c>
      <c r="AD23" s="94">
        <f t="shared" si="5"/>
        <v>185084.57764999999</v>
      </c>
      <c r="AE23" s="94">
        <f t="shared" si="5"/>
        <v>39999</v>
      </c>
      <c r="AF23" s="94">
        <f t="shared" si="17"/>
        <v>11825.163750000007</v>
      </c>
      <c r="AG23" s="94">
        <f>AF23*5%</f>
        <v>591.25818750000042</v>
      </c>
      <c r="AH23" s="94">
        <f t="shared" si="24"/>
        <v>7946.0987775000003</v>
      </c>
      <c r="AI23" s="95">
        <f t="shared" si="8"/>
        <v>0</v>
      </c>
      <c r="AJ23" s="87"/>
      <c r="AK23" s="97">
        <f t="shared" si="28"/>
        <v>1.5</v>
      </c>
      <c r="AL23" s="89">
        <f t="shared" si="9"/>
        <v>1.5</v>
      </c>
      <c r="AM23" s="98">
        <v>11143.2</v>
      </c>
      <c r="AN23" s="88">
        <v>13089.6</v>
      </c>
      <c r="AO23" s="99">
        <f t="shared" si="10"/>
        <v>0.85130179684635132</v>
      </c>
      <c r="AP23" s="87"/>
      <c r="AQ23" s="97">
        <f t="shared" si="29"/>
        <v>1</v>
      </c>
      <c r="AR23" s="100">
        <f t="shared" si="20"/>
        <v>1</v>
      </c>
      <c r="AS23" s="98">
        <v>31409.3</v>
      </c>
      <c r="AT23" s="88">
        <v>32830.300000000003</v>
      </c>
      <c r="AU23" s="95">
        <f t="shared" si="21"/>
        <v>0.95671681343149462</v>
      </c>
      <c r="AV23" s="87"/>
      <c r="AW23" s="97">
        <f t="shared" si="30"/>
        <v>1</v>
      </c>
      <c r="AX23" s="100">
        <f t="shared" si="11"/>
        <v>1</v>
      </c>
      <c r="AY23" s="101">
        <f t="shared" si="23"/>
        <v>6.5</v>
      </c>
    </row>
    <row r="24" spans="1:51" s="6" customFormat="1" x14ac:dyDescent="0.2">
      <c r="A24" s="84" t="s">
        <v>75</v>
      </c>
      <c r="B24" s="85">
        <v>0</v>
      </c>
      <c r="C24" s="85">
        <v>3511.0130199999999</v>
      </c>
      <c r="D24" s="85">
        <v>0</v>
      </c>
      <c r="E24" s="86">
        <f t="shared" si="12"/>
        <v>0</v>
      </c>
      <c r="F24" s="87"/>
      <c r="G24" s="88">
        <f t="shared" si="25"/>
        <v>1</v>
      </c>
      <c r="H24" s="89">
        <f t="shared" si="0"/>
        <v>1</v>
      </c>
      <c r="I24" s="85">
        <v>0</v>
      </c>
      <c r="J24" s="90">
        <v>550291.98829999997</v>
      </c>
      <c r="K24" s="91">
        <v>376610.38829999999</v>
      </c>
      <c r="L24" s="85">
        <v>106596</v>
      </c>
      <c r="M24" s="85">
        <v>0</v>
      </c>
      <c r="N24" s="86">
        <f t="shared" si="14"/>
        <v>0</v>
      </c>
      <c r="O24" s="87"/>
      <c r="P24" s="88">
        <f t="shared" si="26"/>
        <v>1</v>
      </c>
      <c r="Q24" s="89">
        <f t="shared" si="2"/>
        <v>1</v>
      </c>
      <c r="R24" s="102">
        <v>0</v>
      </c>
      <c r="S24" s="85">
        <v>553803.00132000004</v>
      </c>
      <c r="T24" s="93">
        <v>261314.05177000002</v>
      </c>
      <c r="U24" s="86">
        <f t="shared" si="3"/>
        <v>0</v>
      </c>
      <c r="V24" s="87"/>
      <c r="W24" s="88">
        <f t="shared" si="27"/>
        <v>1</v>
      </c>
      <c r="X24" s="89">
        <f t="shared" si="15"/>
        <v>1</v>
      </c>
      <c r="Y24" s="85">
        <f t="shared" si="16"/>
        <v>3511.0130199999999</v>
      </c>
      <c r="Z24" s="94"/>
      <c r="AA24" s="94">
        <v>3511.0130199999999</v>
      </c>
      <c r="AB24" s="94"/>
      <c r="AC24" s="94">
        <f t="shared" si="5"/>
        <v>550291.98829999997</v>
      </c>
      <c r="AD24" s="94">
        <f t="shared" si="5"/>
        <v>376610.38829999999</v>
      </c>
      <c r="AE24" s="94">
        <f t="shared" si="5"/>
        <v>106596</v>
      </c>
      <c r="AF24" s="94">
        <f t="shared" si="17"/>
        <v>67085.599999999977</v>
      </c>
      <c r="AG24" s="94">
        <f>AF24*10%</f>
        <v>6708.5599999999977</v>
      </c>
      <c r="AH24" s="94">
        <f t="shared" si="24"/>
        <v>10219.573019999998</v>
      </c>
      <c r="AI24" s="95">
        <f t="shared" si="8"/>
        <v>0</v>
      </c>
      <c r="AJ24" s="96"/>
      <c r="AK24" s="97">
        <f t="shared" si="28"/>
        <v>1.5</v>
      </c>
      <c r="AL24" s="89">
        <f t="shared" si="9"/>
        <v>1.5</v>
      </c>
      <c r="AM24" s="98">
        <v>19123</v>
      </c>
      <c r="AN24" s="88">
        <v>20866.099999999999</v>
      </c>
      <c r="AO24" s="99">
        <f t="shared" si="10"/>
        <v>0.91646258764215649</v>
      </c>
      <c r="AP24" s="96"/>
      <c r="AQ24" s="97">
        <f t="shared" si="29"/>
        <v>1</v>
      </c>
      <c r="AR24" s="100">
        <f t="shared" si="20"/>
        <v>1</v>
      </c>
      <c r="AS24" s="98">
        <v>45222.2</v>
      </c>
      <c r="AT24" s="88">
        <v>47892.9</v>
      </c>
      <c r="AU24" s="95">
        <f t="shared" si="21"/>
        <v>0.94423599322655327</v>
      </c>
      <c r="AV24" s="96"/>
      <c r="AW24" s="97">
        <f t="shared" si="30"/>
        <v>1</v>
      </c>
      <c r="AX24" s="100">
        <f t="shared" si="11"/>
        <v>1</v>
      </c>
      <c r="AY24" s="101">
        <f t="shared" si="23"/>
        <v>6.5</v>
      </c>
    </row>
    <row r="25" spans="1:51" s="6" customFormat="1" x14ac:dyDescent="0.2">
      <c r="A25" s="84" t="s">
        <v>76</v>
      </c>
      <c r="B25" s="85">
        <v>0</v>
      </c>
      <c r="C25" s="85">
        <v>1539.4208700000001</v>
      </c>
      <c r="D25" s="85">
        <v>0</v>
      </c>
      <c r="E25" s="86">
        <f t="shared" si="12"/>
        <v>0</v>
      </c>
      <c r="F25" s="87"/>
      <c r="G25" s="88">
        <f t="shared" si="25"/>
        <v>1</v>
      </c>
      <c r="H25" s="89">
        <f t="shared" si="0"/>
        <v>1</v>
      </c>
      <c r="I25" s="85">
        <v>0</v>
      </c>
      <c r="J25" s="90">
        <v>275429.63669999997</v>
      </c>
      <c r="K25" s="91">
        <v>213469.63669999997</v>
      </c>
      <c r="L25" s="85">
        <v>41755</v>
      </c>
      <c r="M25" s="85">
        <v>0</v>
      </c>
      <c r="N25" s="86">
        <f t="shared" si="14"/>
        <v>0</v>
      </c>
      <c r="O25" s="87"/>
      <c r="P25" s="88">
        <f t="shared" si="26"/>
        <v>1</v>
      </c>
      <c r="Q25" s="89">
        <f t="shared" si="2"/>
        <v>1</v>
      </c>
      <c r="R25" s="102">
        <v>0</v>
      </c>
      <c r="S25" s="85">
        <v>276969.05757</v>
      </c>
      <c r="T25" s="93">
        <v>123339.68607</v>
      </c>
      <c r="U25" s="86">
        <f t="shared" si="3"/>
        <v>0</v>
      </c>
      <c r="V25" s="87"/>
      <c r="W25" s="88">
        <f t="shared" si="27"/>
        <v>1</v>
      </c>
      <c r="X25" s="89">
        <f t="shared" si="15"/>
        <v>1</v>
      </c>
      <c r="Y25" s="85">
        <f t="shared" si="16"/>
        <v>1539.4208700000001</v>
      </c>
      <c r="Z25" s="94"/>
      <c r="AA25" s="94">
        <v>1539.4208700000001</v>
      </c>
      <c r="AB25" s="94"/>
      <c r="AC25" s="94">
        <f t="shared" si="5"/>
        <v>275429.63669999997</v>
      </c>
      <c r="AD25" s="94">
        <f t="shared" si="5"/>
        <v>213469.63669999997</v>
      </c>
      <c r="AE25" s="94">
        <f t="shared" si="5"/>
        <v>41755</v>
      </c>
      <c r="AF25" s="94">
        <f t="shared" si="17"/>
        <v>20205</v>
      </c>
      <c r="AG25" s="94">
        <f t="shared" ref="AG25:AG32" si="31">AF25*5%</f>
        <v>1010.25</v>
      </c>
      <c r="AH25" s="94">
        <f t="shared" si="24"/>
        <v>2549.6708699999999</v>
      </c>
      <c r="AI25" s="95">
        <f t="shared" si="8"/>
        <v>0</v>
      </c>
      <c r="AJ25" s="96"/>
      <c r="AK25" s="97">
        <f t="shared" si="28"/>
        <v>1.5</v>
      </c>
      <c r="AL25" s="89">
        <f t="shared" si="9"/>
        <v>1.5</v>
      </c>
      <c r="AM25" s="98">
        <v>12306.4</v>
      </c>
      <c r="AN25" s="88">
        <v>14651.6</v>
      </c>
      <c r="AO25" s="99">
        <f t="shared" si="10"/>
        <v>0.839935570176636</v>
      </c>
      <c r="AP25" s="96"/>
      <c r="AQ25" s="97">
        <f t="shared" si="29"/>
        <v>1</v>
      </c>
      <c r="AR25" s="100">
        <f>AP25+AQ25</f>
        <v>1</v>
      </c>
      <c r="AS25" s="98">
        <v>32051</v>
      </c>
      <c r="AT25" s="88">
        <v>36362.9</v>
      </c>
      <c r="AU25" s="95">
        <f t="shared" si="21"/>
        <v>0.88142034876206243</v>
      </c>
      <c r="AV25" s="96"/>
      <c r="AW25" s="97">
        <f t="shared" si="30"/>
        <v>1</v>
      </c>
      <c r="AX25" s="100">
        <f t="shared" si="11"/>
        <v>1</v>
      </c>
      <c r="AY25" s="101">
        <f t="shared" si="23"/>
        <v>6.5</v>
      </c>
    </row>
    <row r="26" spans="1:51" s="6" customFormat="1" x14ac:dyDescent="0.2">
      <c r="A26" s="84" t="s">
        <v>77</v>
      </c>
      <c r="B26" s="85">
        <v>0</v>
      </c>
      <c r="C26" s="85">
        <v>7577.8712500000001</v>
      </c>
      <c r="D26" s="85">
        <v>0</v>
      </c>
      <c r="E26" s="86">
        <f t="shared" si="12"/>
        <v>0</v>
      </c>
      <c r="F26" s="87"/>
      <c r="G26" s="88">
        <f t="shared" si="25"/>
        <v>1</v>
      </c>
      <c r="H26" s="89">
        <f t="shared" si="0"/>
        <v>1</v>
      </c>
      <c r="I26" s="85">
        <v>0</v>
      </c>
      <c r="J26" s="90">
        <v>555943.36108000006</v>
      </c>
      <c r="K26" s="91">
        <v>402528.1827</v>
      </c>
      <c r="L26" s="85">
        <v>104354</v>
      </c>
      <c r="M26" s="85">
        <v>0</v>
      </c>
      <c r="N26" s="86">
        <f t="shared" si="14"/>
        <v>0</v>
      </c>
      <c r="O26" s="87"/>
      <c r="P26" s="88">
        <f t="shared" si="26"/>
        <v>1</v>
      </c>
      <c r="Q26" s="89">
        <f>O26+P26</f>
        <v>1</v>
      </c>
      <c r="R26" s="102">
        <v>0</v>
      </c>
      <c r="S26" s="85">
        <v>563521.23233000003</v>
      </c>
      <c r="T26" s="93">
        <v>243602.01638999998</v>
      </c>
      <c r="U26" s="86">
        <f t="shared" si="3"/>
        <v>0</v>
      </c>
      <c r="V26" s="87"/>
      <c r="W26" s="88">
        <f t="shared" si="27"/>
        <v>1</v>
      </c>
      <c r="X26" s="89">
        <f t="shared" si="15"/>
        <v>1</v>
      </c>
      <c r="Y26" s="85">
        <f t="shared" si="16"/>
        <v>7577.8712500000001</v>
      </c>
      <c r="Z26" s="94"/>
      <c r="AA26" s="94">
        <v>7577.8712500000001</v>
      </c>
      <c r="AB26" s="94"/>
      <c r="AC26" s="94">
        <f t="shared" si="5"/>
        <v>555943.36108000006</v>
      </c>
      <c r="AD26" s="94">
        <f t="shared" si="5"/>
        <v>402528.1827</v>
      </c>
      <c r="AE26" s="94">
        <f t="shared" si="5"/>
        <v>104354</v>
      </c>
      <c r="AF26" s="94">
        <f t="shared" si="17"/>
        <v>49061.178380000056</v>
      </c>
      <c r="AG26" s="94">
        <f>AF26*10%</f>
        <v>4906.1178380000056</v>
      </c>
      <c r="AH26" s="94">
        <f t="shared" si="24"/>
        <v>12483.989088000006</v>
      </c>
      <c r="AI26" s="95">
        <f t="shared" si="8"/>
        <v>0</v>
      </c>
      <c r="AJ26" s="96"/>
      <c r="AK26" s="97">
        <f t="shared" si="28"/>
        <v>1.5</v>
      </c>
      <c r="AL26" s="89">
        <f t="shared" si="9"/>
        <v>1.5</v>
      </c>
      <c r="AM26" s="98">
        <v>15491.7</v>
      </c>
      <c r="AN26" s="88">
        <v>17315.3</v>
      </c>
      <c r="AO26" s="99">
        <f t="shared" si="10"/>
        <v>0.89468273723238989</v>
      </c>
      <c r="AP26" s="96"/>
      <c r="AQ26" s="97">
        <f t="shared" si="29"/>
        <v>1</v>
      </c>
      <c r="AR26" s="100">
        <f t="shared" si="20"/>
        <v>1</v>
      </c>
      <c r="AS26" s="98">
        <v>35550.699999999997</v>
      </c>
      <c r="AT26" s="88">
        <v>41252.800000000003</v>
      </c>
      <c r="AU26" s="95">
        <f t="shared" si="21"/>
        <v>0.86177665516037683</v>
      </c>
      <c r="AV26" s="96"/>
      <c r="AW26" s="97">
        <f t="shared" si="30"/>
        <v>1</v>
      </c>
      <c r="AX26" s="100">
        <f t="shared" si="11"/>
        <v>1</v>
      </c>
      <c r="AY26" s="101">
        <f t="shared" si="23"/>
        <v>6.5</v>
      </c>
    </row>
    <row r="27" spans="1:51" s="6" customFormat="1" x14ac:dyDescent="0.2">
      <c r="A27" s="84" t="s">
        <v>78</v>
      </c>
      <c r="B27" s="85">
        <v>0</v>
      </c>
      <c r="C27" s="85">
        <v>12870.253650000001</v>
      </c>
      <c r="D27" s="85">
        <v>0</v>
      </c>
      <c r="E27" s="86">
        <f t="shared" si="12"/>
        <v>0</v>
      </c>
      <c r="F27" s="87"/>
      <c r="G27" s="88">
        <f t="shared" si="25"/>
        <v>1</v>
      </c>
      <c r="H27" s="89">
        <f t="shared" si="0"/>
        <v>1</v>
      </c>
      <c r="I27" s="85">
        <v>0</v>
      </c>
      <c r="J27" s="90">
        <v>368931.35860000004</v>
      </c>
      <c r="K27" s="91">
        <v>273376.35860000004</v>
      </c>
      <c r="L27" s="85">
        <v>54794</v>
      </c>
      <c r="M27" s="85">
        <v>0</v>
      </c>
      <c r="N27" s="86">
        <f t="shared" si="14"/>
        <v>0</v>
      </c>
      <c r="O27" s="87"/>
      <c r="P27" s="88">
        <f t="shared" si="26"/>
        <v>1</v>
      </c>
      <c r="Q27" s="89">
        <f t="shared" si="2"/>
        <v>1</v>
      </c>
      <c r="R27" s="102">
        <v>0</v>
      </c>
      <c r="S27" s="85">
        <v>381801.61225000001</v>
      </c>
      <c r="T27" s="93">
        <v>186030.02958999999</v>
      </c>
      <c r="U27" s="86">
        <f t="shared" si="3"/>
        <v>0</v>
      </c>
      <c r="V27" s="87"/>
      <c r="W27" s="88">
        <f t="shared" si="27"/>
        <v>1</v>
      </c>
      <c r="X27" s="89">
        <f t="shared" si="15"/>
        <v>1</v>
      </c>
      <c r="Y27" s="85">
        <f t="shared" si="16"/>
        <v>12870.253650000001</v>
      </c>
      <c r="Z27" s="94"/>
      <c r="AA27" s="94">
        <v>12870.253650000001</v>
      </c>
      <c r="AB27" s="94"/>
      <c r="AC27" s="94">
        <f t="shared" si="5"/>
        <v>368931.35860000004</v>
      </c>
      <c r="AD27" s="94">
        <f t="shared" si="5"/>
        <v>273376.35860000004</v>
      </c>
      <c r="AE27" s="94">
        <f t="shared" si="5"/>
        <v>54794</v>
      </c>
      <c r="AF27" s="94">
        <f t="shared" si="17"/>
        <v>40761</v>
      </c>
      <c r="AG27" s="94">
        <f t="shared" si="31"/>
        <v>2038.0500000000002</v>
      </c>
      <c r="AH27" s="94">
        <f t="shared" si="24"/>
        <v>14908.303650000002</v>
      </c>
      <c r="AI27" s="95">
        <f t="shared" si="8"/>
        <v>0</v>
      </c>
      <c r="AJ27" s="87"/>
      <c r="AK27" s="97">
        <f t="shared" si="28"/>
        <v>1.5</v>
      </c>
      <c r="AL27" s="89">
        <f t="shared" si="9"/>
        <v>1.5</v>
      </c>
      <c r="AM27" s="98">
        <v>12689.8</v>
      </c>
      <c r="AN27" s="88">
        <v>13609.1</v>
      </c>
      <c r="AO27" s="99">
        <f t="shared" si="10"/>
        <v>0.93244961092210354</v>
      </c>
      <c r="AP27" s="87"/>
      <c r="AQ27" s="97">
        <f t="shared" si="29"/>
        <v>1</v>
      </c>
      <c r="AR27" s="100">
        <f t="shared" si="20"/>
        <v>1</v>
      </c>
      <c r="AS27" s="98">
        <v>30540.799999999999</v>
      </c>
      <c r="AT27" s="88">
        <v>32254.7</v>
      </c>
      <c r="AU27" s="95">
        <f t="shared" si="21"/>
        <v>0.94686355786908571</v>
      </c>
      <c r="AV27" s="87"/>
      <c r="AW27" s="97">
        <f t="shared" si="30"/>
        <v>1</v>
      </c>
      <c r="AX27" s="100">
        <f t="shared" si="11"/>
        <v>1</v>
      </c>
      <c r="AY27" s="101">
        <f t="shared" si="23"/>
        <v>6.5</v>
      </c>
    </row>
    <row r="28" spans="1:51" s="6" customFormat="1" x14ac:dyDescent="0.2">
      <c r="A28" s="84" t="s">
        <v>79</v>
      </c>
      <c r="B28" s="85">
        <v>0</v>
      </c>
      <c r="C28" s="85">
        <v>3059.3652099999999</v>
      </c>
      <c r="D28" s="85">
        <v>0</v>
      </c>
      <c r="E28" s="86">
        <f t="shared" si="12"/>
        <v>0</v>
      </c>
      <c r="F28" s="87"/>
      <c r="G28" s="88">
        <f t="shared" si="25"/>
        <v>1</v>
      </c>
      <c r="H28" s="89">
        <f t="shared" si="0"/>
        <v>1</v>
      </c>
      <c r="I28" s="85">
        <v>0</v>
      </c>
      <c r="J28" s="90">
        <v>345919.47083000001</v>
      </c>
      <c r="K28" s="91">
        <v>244766.47883000001</v>
      </c>
      <c r="L28" s="85">
        <v>64278</v>
      </c>
      <c r="M28" s="85">
        <v>0</v>
      </c>
      <c r="N28" s="86">
        <f t="shared" si="14"/>
        <v>0</v>
      </c>
      <c r="O28" s="87"/>
      <c r="P28" s="88">
        <f t="shared" si="26"/>
        <v>1</v>
      </c>
      <c r="Q28" s="89">
        <f t="shared" si="2"/>
        <v>1</v>
      </c>
      <c r="R28" s="102">
        <v>0</v>
      </c>
      <c r="S28" s="85">
        <v>348978.83604000002</v>
      </c>
      <c r="T28" s="93">
        <v>148310.91812000002</v>
      </c>
      <c r="U28" s="86">
        <f t="shared" si="3"/>
        <v>0</v>
      </c>
      <c r="V28" s="87"/>
      <c r="W28" s="88">
        <f t="shared" si="27"/>
        <v>1</v>
      </c>
      <c r="X28" s="89">
        <f t="shared" si="15"/>
        <v>1</v>
      </c>
      <c r="Y28" s="85">
        <f t="shared" si="16"/>
        <v>3059.3652099999999</v>
      </c>
      <c r="Z28" s="94"/>
      <c r="AA28" s="94">
        <v>3059.3652099999999</v>
      </c>
      <c r="AB28" s="94"/>
      <c r="AC28" s="94">
        <f t="shared" si="5"/>
        <v>345919.47083000001</v>
      </c>
      <c r="AD28" s="94">
        <f t="shared" si="5"/>
        <v>244766.47883000001</v>
      </c>
      <c r="AE28" s="94">
        <f t="shared" si="5"/>
        <v>64278</v>
      </c>
      <c r="AF28" s="94">
        <f t="shared" si="17"/>
        <v>36874.991999999998</v>
      </c>
      <c r="AG28" s="94">
        <f t="shared" si="31"/>
        <v>1843.7496000000001</v>
      </c>
      <c r="AH28" s="94">
        <f t="shared" si="24"/>
        <v>4903.11481</v>
      </c>
      <c r="AI28" s="95">
        <f t="shared" si="8"/>
        <v>0</v>
      </c>
      <c r="AJ28" s="87"/>
      <c r="AK28" s="97">
        <f t="shared" si="28"/>
        <v>1.5</v>
      </c>
      <c r="AL28" s="89">
        <f t="shared" si="9"/>
        <v>1.5</v>
      </c>
      <c r="AM28" s="98">
        <v>12838.2</v>
      </c>
      <c r="AN28" s="88">
        <v>14651.6</v>
      </c>
      <c r="AO28" s="99">
        <f t="shared" si="10"/>
        <v>0.87623194736411048</v>
      </c>
      <c r="AP28" s="87"/>
      <c r="AQ28" s="97">
        <f t="shared" si="29"/>
        <v>1</v>
      </c>
      <c r="AR28" s="100">
        <f t="shared" si="20"/>
        <v>1</v>
      </c>
      <c r="AS28" s="98">
        <v>30888.400000000001</v>
      </c>
      <c r="AT28" s="88">
        <v>36362.9</v>
      </c>
      <c r="AU28" s="95">
        <f t="shared" si="21"/>
        <v>0.8494482013260769</v>
      </c>
      <c r="AV28" s="87"/>
      <c r="AW28" s="97">
        <f t="shared" si="30"/>
        <v>1</v>
      </c>
      <c r="AX28" s="100">
        <f t="shared" si="11"/>
        <v>1</v>
      </c>
      <c r="AY28" s="101">
        <f t="shared" si="23"/>
        <v>6.5</v>
      </c>
    </row>
    <row r="29" spans="1:51" s="6" customFormat="1" x14ac:dyDescent="0.2">
      <c r="A29" s="84" t="s">
        <v>80</v>
      </c>
      <c r="B29" s="85">
        <v>0</v>
      </c>
      <c r="C29" s="85">
        <v>2355.02783</v>
      </c>
      <c r="D29" s="85">
        <v>0</v>
      </c>
      <c r="E29" s="86">
        <f t="shared" si="12"/>
        <v>0</v>
      </c>
      <c r="F29" s="87"/>
      <c r="G29" s="88">
        <f t="shared" si="25"/>
        <v>1</v>
      </c>
      <c r="H29" s="89">
        <f t="shared" si="0"/>
        <v>1</v>
      </c>
      <c r="I29" s="85">
        <v>0</v>
      </c>
      <c r="J29" s="90">
        <v>268653.36629999999</v>
      </c>
      <c r="K29" s="91">
        <v>216838.24730000002</v>
      </c>
      <c r="L29" s="85">
        <v>28162</v>
      </c>
      <c r="M29" s="85">
        <v>0</v>
      </c>
      <c r="N29" s="86">
        <f t="shared" si="14"/>
        <v>0</v>
      </c>
      <c r="O29" s="87"/>
      <c r="P29" s="88">
        <f t="shared" si="26"/>
        <v>1</v>
      </c>
      <c r="Q29" s="89">
        <f t="shared" si="2"/>
        <v>1</v>
      </c>
      <c r="R29" s="102">
        <v>0</v>
      </c>
      <c r="S29" s="85">
        <v>271008.39412999997</v>
      </c>
      <c r="T29" s="93">
        <v>136131.27774000002</v>
      </c>
      <c r="U29" s="86">
        <f t="shared" si="3"/>
        <v>0</v>
      </c>
      <c r="V29" s="87"/>
      <c r="W29" s="88">
        <f t="shared" si="27"/>
        <v>1</v>
      </c>
      <c r="X29" s="89">
        <f t="shared" si="15"/>
        <v>1</v>
      </c>
      <c r="Y29" s="85">
        <f t="shared" si="16"/>
        <v>2355.02783</v>
      </c>
      <c r="Z29" s="94"/>
      <c r="AA29" s="94">
        <v>2355.02783</v>
      </c>
      <c r="AB29" s="94"/>
      <c r="AC29" s="94">
        <f t="shared" si="5"/>
        <v>268653.36629999999</v>
      </c>
      <c r="AD29" s="94">
        <f t="shared" si="5"/>
        <v>216838.24730000002</v>
      </c>
      <c r="AE29" s="94">
        <f t="shared" si="5"/>
        <v>28162</v>
      </c>
      <c r="AF29" s="94">
        <f t="shared" si="17"/>
        <v>23653.118999999977</v>
      </c>
      <c r="AG29" s="94">
        <f t="shared" si="31"/>
        <v>1182.6559499999989</v>
      </c>
      <c r="AH29" s="94">
        <f t="shared" si="24"/>
        <v>3537.6837799999989</v>
      </c>
      <c r="AI29" s="95">
        <f t="shared" si="8"/>
        <v>0</v>
      </c>
      <c r="AJ29" s="87"/>
      <c r="AK29" s="97">
        <f t="shared" si="28"/>
        <v>1.5</v>
      </c>
      <c r="AL29" s="89">
        <f t="shared" si="9"/>
        <v>1.5</v>
      </c>
      <c r="AM29" s="98">
        <v>11466.5</v>
      </c>
      <c r="AN29" s="88">
        <v>13089.6</v>
      </c>
      <c r="AO29" s="99">
        <f t="shared" si="10"/>
        <v>0.87600079452389679</v>
      </c>
      <c r="AP29" s="87"/>
      <c r="AQ29" s="97">
        <f t="shared" si="29"/>
        <v>1</v>
      </c>
      <c r="AR29" s="100">
        <f t="shared" si="20"/>
        <v>1</v>
      </c>
      <c r="AS29" s="98">
        <v>28601.3</v>
      </c>
      <c r="AT29" s="88">
        <v>32830.300000000003</v>
      </c>
      <c r="AU29" s="95">
        <f t="shared" si="21"/>
        <v>0.87118606896677753</v>
      </c>
      <c r="AV29" s="87"/>
      <c r="AW29" s="97">
        <f t="shared" si="30"/>
        <v>1</v>
      </c>
      <c r="AX29" s="100">
        <f t="shared" si="11"/>
        <v>1</v>
      </c>
      <c r="AY29" s="101">
        <f t="shared" si="23"/>
        <v>6.5</v>
      </c>
    </row>
    <row r="30" spans="1:51" s="6" customFormat="1" x14ac:dyDescent="0.2">
      <c r="A30" s="84" t="s">
        <v>81</v>
      </c>
      <c r="B30" s="85">
        <v>0</v>
      </c>
      <c r="C30" s="85">
        <v>11238.45516</v>
      </c>
      <c r="D30" s="85">
        <v>0</v>
      </c>
      <c r="E30" s="86">
        <f t="shared" si="12"/>
        <v>0</v>
      </c>
      <c r="F30" s="87"/>
      <c r="G30" s="88">
        <f t="shared" si="25"/>
        <v>1</v>
      </c>
      <c r="H30" s="89">
        <f t="shared" si="0"/>
        <v>1</v>
      </c>
      <c r="I30" s="85">
        <v>0</v>
      </c>
      <c r="J30" s="90">
        <v>289945.59549000004</v>
      </c>
      <c r="K30" s="91">
        <v>206445.16049000001</v>
      </c>
      <c r="L30" s="85">
        <v>45749</v>
      </c>
      <c r="M30" s="85">
        <v>0</v>
      </c>
      <c r="N30" s="86">
        <f t="shared" si="14"/>
        <v>0</v>
      </c>
      <c r="O30" s="87"/>
      <c r="P30" s="88">
        <f t="shared" si="26"/>
        <v>1</v>
      </c>
      <c r="Q30" s="89">
        <f t="shared" si="2"/>
        <v>1</v>
      </c>
      <c r="R30" s="102">
        <v>0</v>
      </c>
      <c r="S30" s="85">
        <v>301184.05064999999</v>
      </c>
      <c r="T30" s="93">
        <v>122106.0753</v>
      </c>
      <c r="U30" s="86">
        <f t="shared" si="3"/>
        <v>0</v>
      </c>
      <c r="V30" s="87"/>
      <c r="W30" s="88">
        <f t="shared" si="27"/>
        <v>1</v>
      </c>
      <c r="X30" s="89">
        <f t="shared" si="15"/>
        <v>1</v>
      </c>
      <c r="Y30" s="85">
        <f t="shared" si="16"/>
        <v>11238.45516</v>
      </c>
      <c r="Z30" s="94"/>
      <c r="AA30" s="94">
        <v>11238.45516</v>
      </c>
      <c r="AB30" s="94"/>
      <c r="AC30" s="94">
        <f t="shared" si="5"/>
        <v>289945.59549000004</v>
      </c>
      <c r="AD30" s="94">
        <f t="shared" si="5"/>
        <v>206445.16049000001</v>
      </c>
      <c r="AE30" s="94">
        <f t="shared" si="5"/>
        <v>45749</v>
      </c>
      <c r="AF30" s="94">
        <f t="shared" si="17"/>
        <v>37751.435000000027</v>
      </c>
      <c r="AG30" s="94">
        <f t="shared" si="31"/>
        <v>1887.5717500000014</v>
      </c>
      <c r="AH30" s="94">
        <f t="shared" si="24"/>
        <v>13126.02691</v>
      </c>
      <c r="AI30" s="95">
        <f t="shared" si="8"/>
        <v>0</v>
      </c>
      <c r="AJ30" s="87"/>
      <c r="AK30" s="97">
        <f t="shared" si="28"/>
        <v>1.5</v>
      </c>
      <c r="AL30" s="89">
        <f t="shared" si="9"/>
        <v>1.5</v>
      </c>
      <c r="AM30" s="98">
        <v>12503.2</v>
      </c>
      <c r="AN30" s="88">
        <v>14651.6</v>
      </c>
      <c r="AO30" s="99">
        <f t="shared" si="10"/>
        <v>0.85336755030167355</v>
      </c>
      <c r="AP30" s="87"/>
      <c r="AQ30" s="97">
        <f t="shared" si="29"/>
        <v>1</v>
      </c>
      <c r="AR30" s="100">
        <f t="shared" si="20"/>
        <v>1</v>
      </c>
      <c r="AS30" s="98">
        <v>30140.400000000001</v>
      </c>
      <c r="AT30" s="88">
        <v>36362.9</v>
      </c>
      <c r="AU30" s="95">
        <f t="shared" si="21"/>
        <v>0.82887778477514173</v>
      </c>
      <c r="AV30" s="87"/>
      <c r="AW30" s="97">
        <f t="shared" si="30"/>
        <v>1</v>
      </c>
      <c r="AX30" s="100">
        <f t="shared" si="11"/>
        <v>1</v>
      </c>
      <c r="AY30" s="101">
        <f t="shared" si="23"/>
        <v>6.5</v>
      </c>
    </row>
    <row r="31" spans="1:51" s="6" customFormat="1" x14ac:dyDescent="0.2">
      <c r="A31" s="84" t="s">
        <v>82</v>
      </c>
      <c r="B31" s="85">
        <v>0</v>
      </c>
      <c r="C31" s="85">
        <v>40527.891689999997</v>
      </c>
      <c r="D31" s="85">
        <v>0</v>
      </c>
      <c r="E31" s="86">
        <f t="shared" si="12"/>
        <v>0</v>
      </c>
      <c r="F31" s="87"/>
      <c r="G31" s="88">
        <f t="shared" si="25"/>
        <v>1</v>
      </c>
      <c r="H31" s="89">
        <f t="shared" si="0"/>
        <v>1</v>
      </c>
      <c r="I31" s="85">
        <v>0</v>
      </c>
      <c r="J31" s="90">
        <v>564169.43678999995</v>
      </c>
      <c r="K31" s="91">
        <v>444290.63679000002</v>
      </c>
      <c r="L31" s="85">
        <v>77793</v>
      </c>
      <c r="M31" s="85">
        <v>0</v>
      </c>
      <c r="N31" s="86">
        <f t="shared" si="14"/>
        <v>0</v>
      </c>
      <c r="O31" s="87"/>
      <c r="P31" s="88">
        <f>IF(N31&lt;=0.5,1,0)</f>
        <v>1</v>
      </c>
      <c r="Q31" s="89">
        <f>O31+P31</f>
        <v>1</v>
      </c>
      <c r="R31" s="102">
        <v>0</v>
      </c>
      <c r="S31" s="85">
        <v>604697.32848000003</v>
      </c>
      <c r="T31" s="93">
        <v>205549.05309</v>
      </c>
      <c r="U31" s="86">
        <f t="shared" si="3"/>
        <v>0</v>
      </c>
      <c r="V31" s="87"/>
      <c r="W31" s="88">
        <f t="shared" si="27"/>
        <v>1</v>
      </c>
      <c r="X31" s="89">
        <f t="shared" si="15"/>
        <v>1</v>
      </c>
      <c r="Y31" s="85">
        <f t="shared" si="16"/>
        <v>40527.891689999997</v>
      </c>
      <c r="Z31" s="94"/>
      <c r="AA31" s="94">
        <v>40527.891689999997</v>
      </c>
      <c r="AB31" s="94"/>
      <c r="AC31" s="94">
        <f t="shared" si="5"/>
        <v>564169.43678999995</v>
      </c>
      <c r="AD31" s="94">
        <f t="shared" si="5"/>
        <v>444290.63679000002</v>
      </c>
      <c r="AE31" s="94">
        <f t="shared" si="5"/>
        <v>77793</v>
      </c>
      <c r="AF31" s="94">
        <f t="shared" si="17"/>
        <v>42085.79999999993</v>
      </c>
      <c r="AG31" s="94">
        <f>AF31*10%</f>
        <v>4208.5799999999936</v>
      </c>
      <c r="AH31" s="94">
        <f t="shared" si="24"/>
        <v>44736.471689999991</v>
      </c>
      <c r="AI31" s="95">
        <f t="shared" si="8"/>
        <v>0</v>
      </c>
      <c r="AJ31" s="96"/>
      <c r="AK31" s="97">
        <f t="shared" si="28"/>
        <v>1.5</v>
      </c>
      <c r="AL31" s="89">
        <f t="shared" si="9"/>
        <v>1.5</v>
      </c>
      <c r="AM31" s="98">
        <v>15478.5</v>
      </c>
      <c r="AN31" s="88">
        <v>17315.3</v>
      </c>
      <c r="AO31" s="99">
        <f t="shared" si="10"/>
        <v>0.89392040565280417</v>
      </c>
      <c r="AP31" s="96"/>
      <c r="AQ31" s="97">
        <f t="shared" si="29"/>
        <v>1</v>
      </c>
      <c r="AR31" s="100">
        <f t="shared" si="20"/>
        <v>1</v>
      </c>
      <c r="AS31" s="98">
        <v>36109.1</v>
      </c>
      <c r="AT31" s="88">
        <v>41252.800000000003</v>
      </c>
      <c r="AU31" s="95">
        <f t="shared" si="21"/>
        <v>0.87531270604661982</v>
      </c>
      <c r="AV31" s="96"/>
      <c r="AW31" s="97">
        <f t="shared" si="30"/>
        <v>1</v>
      </c>
      <c r="AX31" s="100">
        <f t="shared" si="11"/>
        <v>1</v>
      </c>
      <c r="AY31" s="101">
        <f t="shared" si="23"/>
        <v>6.5</v>
      </c>
    </row>
    <row r="32" spans="1:51" s="6" customFormat="1" x14ac:dyDescent="0.2">
      <c r="A32" s="84" t="s">
        <v>83</v>
      </c>
      <c r="B32" s="85">
        <v>0</v>
      </c>
      <c r="C32" s="85">
        <v>4937.26199</v>
      </c>
      <c r="D32" s="85">
        <v>0</v>
      </c>
      <c r="E32" s="86">
        <f t="shared" si="12"/>
        <v>0</v>
      </c>
      <c r="F32" s="87"/>
      <c r="G32" s="88">
        <f t="shared" si="25"/>
        <v>1</v>
      </c>
      <c r="H32" s="89">
        <f t="shared" si="0"/>
        <v>1</v>
      </c>
      <c r="I32" s="85">
        <v>0</v>
      </c>
      <c r="J32" s="90">
        <v>534294.62922</v>
      </c>
      <c r="K32" s="91">
        <v>373126.13604000001</v>
      </c>
      <c r="L32" s="85">
        <v>113286</v>
      </c>
      <c r="M32" s="85">
        <v>0</v>
      </c>
      <c r="N32" s="86">
        <f t="shared" si="14"/>
        <v>0</v>
      </c>
      <c r="O32" s="87"/>
      <c r="P32" s="88">
        <f t="shared" si="26"/>
        <v>1</v>
      </c>
      <c r="Q32" s="89">
        <f t="shared" si="2"/>
        <v>1</v>
      </c>
      <c r="R32" s="102">
        <v>0</v>
      </c>
      <c r="S32" s="85">
        <v>539231.89121000003</v>
      </c>
      <c r="T32" s="93">
        <v>247934.13703000001</v>
      </c>
      <c r="U32" s="86">
        <f t="shared" si="3"/>
        <v>0</v>
      </c>
      <c r="V32" s="87"/>
      <c r="W32" s="88">
        <f t="shared" si="27"/>
        <v>1</v>
      </c>
      <c r="X32" s="89">
        <f t="shared" si="15"/>
        <v>1</v>
      </c>
      <c r="Y32" s="85">
        <f t="shared" si="16"/>
        <v>4937.26199</v>
      </c>
      <c r="Z32" s="94"/>
      <c r="AA32" s="94">
        <v>4937.26199</v>
      </c>
      <c r="AB32" s="94"/>
      <c r="AC32" s="94">
        <f t="shared" si="5"/>
        <v>534294.62922</v>
      </c>
      <c r="AD32" s="94">
        <f t="shared" si="5"/>
        <v>373126.13604000001</v>
      </c>
      <c r="AE32" s="94">
        <f t="shared" si="5"/>
        <v>113286</v>
      </c>
      <c r="AF32" s="94">
        <f t="shared" si="17"/>
        <v>47882.49317999999</v>
      </c>
      <c r="AG32" s="94">
        <f t="shared" si="31"/>
        <v>2394.1246589999996</v>
      </c>
      <c r="AH32" s="94">
        <f t="shared" si="24"/>
        <v>7331.386649</v>
      </c>
      <c r="AI32" s="95">
        <f t="shared" si="8"/>
        <v>0</v>
      </c>
      <c r="AJ32" s="87"/>
      <c r="AK32" s="97">
        <f t="shared" si="28"/>
        <v>1.5</v>
      </c>
      <c r="AL32" s="89">
        <f t="shared" si="9"/>
        <v>1.5</v>
      </c>
      <c r="AM32" s="98">
        <v>16670.2</v>
      </c>
      <c r="AN32" s="88">
        <v>17315.3</v>
      </c>
      <c r="AO32" s="99">
        <f>AM32/AN32</f>
        <v>0.96274393166736938</v>
      </c>
      <c r="AP32" s="87"/>
      <c r="AQ32" s="97">
        <f t="shared" si="29"/>
        <v>1</v>
      </c>
      <c r="AR32" s="100">
        <f t="shared" si="20"/>
        <v>1</v>
      </c>
      <c r="AS32" s="98">
        <v>46070.1</v>
      </c>
      <c r="AT32" s="88">
        <v>46313.2</v>
      </c>
      <c r="AU32" s="95">
        <f t="shared" si="21"/>
        <v>0.99475095653075152</v>
      </c>
      <c r="AV32" s="87"/>
      <c r="AW32" s="97">
        <f t="shared" si="30"/>
        <v>1</v>
      </c>
      <c r="AX32" s="100">
        <f t="shared" si="11"/>
        <v>1</v>
      </c>
      <c r="AY32" s="101">
        <f t="shared" si="23"/>
        <v>6.5</v>
      </c>
    </row>
    <row r="33" spans="1:51" s="6" customFormat="1" x14ac:dyDescent="0.2">
      <c r="A33" s="84" t="s">
        <v>84</v>
      </c>
      <c r="B33" s="85">
        <v>0</v>
      </c>
      <c r="C33" s="85">
        <v>22631.222399999999</v>
      </c>
      <c r="D33" s="85">
        <v>0</v>
      </c>
      <c r="E33" s="86">
        <f>IF(AND(B33=0,D33=0),0,B33/(IF(C33&gt;0,C33,0)+D33))</f>
        <v>0</v>
      </c>
      <c r="F33" s="87"/>
      <c r="G33" s="88">
        <f t="shared" si="25"/>
        <v>1</v>
      </c>
      <c r="H33" s="89">
        <f>F33+G33</f>
        <v>1</v>
      </c>
      <c r="I33" s="85">
        <v>0</v>
      </c>
      <c r="J33" s="90">
        <v>842766.95</v>
      </c>
      <c r="K33" s="91">
        <v>670216.61600000004</v>
      </c>
      <c r="L33" s="85">
        <v>108155</v>
      </c>
      <c r="M33" s="85">
        <v>0</v>
      </c>
      <c r="N33" s="86">
        <f>(I33-M33)/(J33-K33-L33)</f>
        <v>0</v>
      </c>
      <c r="O33" s="87"/>
      <c r="P33" s="88">
        <f t="shared" si="26"/>
        <v>1</v>
      </c>
      <c r="Q33" s="89">
        <f>O33+P33</f>
        <v>1</v>
      </c>
      <c r="R33" s="102">
        <v>0</v>
      </c>
      <c r="S33" s="85">
        <v>865398.17239999992</v>
      </c>
      <c r="T33" s="93">
        <v>337636.56236000004</v>
      </c>
      <c r="U33" s="86">
        <f>R33/(S33-T33)</f>
        <v>0</v>
      </c>
      <c r="V33" s="87"/>
      <c r="W33" s="88">
        <f t="shared" si="27"/>
        <v>1</v>
      </c>
      <c r="X33" s="89">
        <f t="shared" si="15"/>
        <v>1</v>
      </c>
      <c r="Y33" s="85">
        <f t="shared" si="16"/>
        <v>22631.222399999999</v>
      </c>
      <c r="Z33" s="94"/>
      <c r="AA33" s="94">
        <v>22631.222399999999</v>
      </c>
      <c r="AB33" s="94"/>
      <c r="AC33" s="94">
        <f t="shared" si="5"/>
        <v>842766.95</v>
      </c>
      <c r="AD33" s="94">
        <f t="shared" si="5"/>
        <v>670216.61600000004</v>
      </c>
      <c r="AE33" s="94">
        <f t="shared" si="5"/>
        <v>108155</v>
      </c>
      <c r="AF33" s="94">
        <f>AC33-AD33-AE33</f>
        <v>64395.333999999915</v>
      </c>
      <c r="AG33" s="94">
        <f>AF33*10%</f>
        <v>6439.5333999999921</v>
      </c>
      <c r="AH33" s="94">
        <f>IF(AA33&gt;0,AA33,0)+AG33+IF(AB33&gt;0,AB33,0)</f>
        <v>29070.755799999992</v>
      </c>
      <c r="AI33" s="95">
        <f t="shared" si="8"/>
        <v>0</v>
      </c>
      <c r="AJ33" s="96"/>
      <c r="AK33" s="97">
        <f t="shared" si="28"/>
        <v>1.5</v>
      </c>
      <c r="AL33" s="89">
        <f>AJ33+AK33</f>
        <v>1.5</v>
      </c>
      <c r="AM33" s="98">
        <v>19455.2</v>
      </c>
      <c r="AN33" s="88">
        <v>20866.099999999999</v>
      </c>
      <c r="AO33" s="99">
        <f>AM33/AN33</f>
        <v>0.93238314778516362</v>
      </c>
      <c r="AP33" s="96"/>
      <c r="AQ33" s="97">
        <f t="shared" si="29"/>
        <v>1</v>
      </c>
      <c r="AR33" s="100">
        <f>AP33+AQ33</f>
        <v>1</v>
      </c>
      <c r="AS33" s="98">
        <v>44287.9</v>
      </c>
      <c r="AT33" s="88">
        <v>47892.9</v>
      </c>
      <c r="AU33" s="95">
        <f t="shared" si="21"/>
        <v>0.92472788242098514</v>
      </c>
      <c r="AV33" s="96"/>
      <c r="AW33" s="97">
        <f t="shared" si="30"/>
        <v>1</v>
      </c>
      <c r="AX33" s="100">
        <f t="shared" si="11"/>
        <v>1</v>
      </c>
      <c r="AY33" s="101">
        <f t="shared" si="23"/>
        <v>6.5</v>
      </c>
    </row>
    <row r="34" spans="1:51" s="6" customFormat="1" x14ac:dyDescent="0.2">
      <c r="A34" s="84" t="s">
        <v>85</v>
      </c>
      <c r="B34" s="85">
        <v>0</v>
      </c>
      <c r="C34" s="85">
        <v>3867.5303799999997</v>
      </c>
      <c r="D34" s="85">
        <v>0</v>
      </c>
      <c r="E34" s="86">
        <f t="shared" si="12"/>
        <v>0</v>
      </c>
      <c r="F34" s="87"/>
      <c r="G34" s="88">
        <f t="shared" si="25"/>
        <v>1</v>
      </c>
      <c r="H34" s="89">
        <f t="shared" si="0"/>
        <v>1</v>
      </c>
      <c r="I34" s="85">
        <v>0</v>
      </c>
      <c r="J34" s="90">
        <v>179233.86442</v>
      </c>
      <c r="K34" s="91">
        <v>133237.07441999999</v>
      </c>
      <c r="L34" s="85">
        <v>22674</v>
      </c>
      <c r="M34" s="85">
        <v>0</v>
      </c>
      <c r="N34" s="86">
        <f t="shared" si="14"/>
        <v>0</v>
      </c>
      <c r="O34" s="87"/>
      <c r="P34" s="88">
        <f t="shared" si="26"/>
        <v>1</v>
      </c>
      <c r="Q34" s="89">
        <f t="shared" si="2"/>
        <v>1</v>
      </c>
      <c r="R34" s="102">
        <v>0</v>
      </c>
      <c r="S34" s="85">
        <v>183101.39480000001</v>
      </c>
      <c r="T34" s="93">
        <v>76483.208549999996</v>
      </c>
      <c r="U34" s="86">
        <f t="shared" si="3"/>
        <v>0</v>
      </c>
      <c r="V34" s="87"/>
      <c r="W34" s="88">
        <f t="shared" si="27"/>
        <v>1</v>
      </c>
      <c r="X34" s="89">
        <f t="shared" si="15"/>
        <v>1</v>
      </c>
      <c r="Y34" s="85">
        <f t="shared" si="16"/>
        <v>3867.5303799999997</v>
      </c>
      <c r="Z34" s="94"/>
      <c r="AA34" s="94">
        <v>3867.5303799999997</v>
      </c>
      <c r="AB34" s="94"/>
      <c r="AC34" s="94">
        <f t="shared" si="5"/>
        <v>179233.86442</v>
      </c>
      <c r="AD34" s="94">
        <f t="shared" si="5"/>
        <v>133237.07441999999</v>
      </c>
      <c r="AE34" s="94">
        <f t="shared" si="5"/>
        <v>22674</v>
      </c>
      <c r="AF34" s="94">
        <f t="shared" si="17"/>
        <v>23322.790000000008</v>
      </c>
      <c r="AG34" s="94">
        <f t="shared" ref="AG34:AG39" si="32">AF34*5%</f>
        <v>1166.1395000000005</v>
      </c>
      <c r="AH34" s="94">
        <f t="shared" si="24"/>
        <v>5033.6698800000004</v>
      </c>
      <c r="AI34" s="95">
        <f t="shared" si="8"/>
        <v>0</v>
      </c>
      <c r="AJ34" s="96"/>
      <c r="AK34" s="97">
        <f t="shared" si="28"/>
        <v>1.5</v>
      </c>
      <c r="AL34" s="89">
        <f t="shared" si="9"/>
        <v>1.5</v>
      </c>
      <c r="AM34" s="98">
        <v>9095.1</v>
      </c>
      <c r="AN34" s="88">
        <v>12006.7</v>
      </c>
      <c r="AO34" s="99">
        <f t="shared" si="10"/>
        <v>0.75750206134908005</v>
      </c>
      <c r="AP34" s="96"/>
      <c r="AQ34" s="97">
        <f t="shared" si="29"/>
        <v>1</v>
      </c>
      <c r="AR34" s="100">
        <f>AP34+AQ34</f>
        <v>1</v>
      </c>
      <c r="AS34" s="98">
        <v>25658.400000000001</v>
      </c>
      <c r="AT34" s="88">
        <v>30410.2</v>
      </c>
      <c r="AU34" s="95">
        <f t="shared" si="21"/>
        <v>0.84374321773615435</v>
      </c>
      <c r="AV34" s="96"/>
      <c r="AW34" s="97">
        <f t="shared" si="30"/>
        <v>1</v>
      </c>
      <c r="AX34" s="100">
        <f t="shared" si="11"/>
        <v>1</v>
      </c>
      <c r="AY34" s="101">
        <f t="shared" si="23"/>
        <v>6.5</v>
      </c>
    </row>
    <row r="35" spans="1:51" s="6" customFormat="1" x14ac:dyDescent="0.2">
      <c r="A35" s="84" t="s">
        <v>86</v>
      </c>
      <c r="B35" s="85">
        <v>0</v>
      </c>
      <c r="C35" s="85">
        <v>-3327.3123900000001</v>
      </c>
      <c r="D35" s="85">
        <v>0</v>
      </c>
      <c r="E35" s="86">
        <f>IF(AND(B35=0,D35=0),0,B35/(IF(C35&gt;0,C35,0)+D35))</f>
        <v>0</v>
      </c>
      <c r="F35" s="87"/>
      <c r="G35" s="88">
        <f>IF(E35&lt;=1.05,1,0)</f>
        <v>1</v>
      </c>
      <c r="H35" s="89">
        <f>F35+G35</f>
        <v>1</v>
      </c>
      <c r="I35" s="85">
        <v>0</v>
      </c>
      <c r="J35" s="90">
        <v>322525.05976999999</v>
      </c>
      <c r="K35" s="91">
        <v>220080.77469999998</v>
      </c>
      <c r="L35" s="85">
        <v>43501</v>
      </c>
      <c r="M35" s="85">
        <v>0</v>
      </c>
      <c r="N35" s="86">
        <f>(I35-M35)/(J35-K35-L35)</f>
        <v>0</v>
      </c>
      <c r="O35" s="87"/>
      <c r="P35" s="88">
        <f>IF(N35&lt;=0.5,1,0)</f>
        <v>1</v>
      </c>
      <c r="Q35" s="89">
        <f>O35+P35</f>
        <v>1</v>
      </c>
      <c r="R35" s="102">
        <v>0</v>
      </c>
      <c r="S35" s="85">
        <v>319197.74738000002</v>
      </c>
      <c r="T35" s="93">
        <v>137365.55833</v>
      </c>
      <c r="U35" s="86">
        <f>R35/(S35-T35)</f>
        <v>0</v>
      </c>
      <c r="V35" s="87"/>
      <c r="W35" s="88">
        <f>IF(U35&lt;=0.15,1,0)</f>
        <v>1</v>
      </c>
      <c r="X35" s="89">
        <f>V35+W35</f>
        <v>1</v>
      </c>
      <c r="Y35" s="85">
        <f t="shared" si="16"/>
        <v>-3327.3123900000001</v>
      </c>
      <c r="Z35" s="94"/>
      <c r="AA35" s="94">
        <v>-3327.3123900000001</v>
      </c>
      <c r="AB35" s="94"/>
      <c r="AC35" s="94">
        <f>J35</f>
        <v>322525.05976999999</v>
      </c>
      <c r="AD35" s="94">
        <f>K35</f>
        <v>220080.77469999998</v>
      </c>
      <c r="AE35" s="94">
        <f>L35</f>
        <v>43501</v>
      </c>
      <c r="AF35" s="94">
        <f>AC35-AD35-AE35</f>
        <v>58943.285070000013</v>
      </c>
      <c r="AG35" s="94">
        <f>AF35*5%</f>
        <v>2947.164253500001</v>
      </c>
      <c r="AH35" s="94">
        <f>IF(AA35&gt;0,AA35,0)+AG35+IF(AB35&gt;0,AB35,0)</f>
        <v>2947.164253500001</v>
      </c>
      <c r="AI35" s="95">
        <f>IF((Y35-IF(Z35&gt;0,Z35,0)-IF(AA35&gt;0,AA35,0)-IF(AB35&gt;0,AB35,0))/(AC35-AD35-AE35)&gt;0,(Y35-IF(Z35&gt;0,Z35,0)-IF(AA35&gt;0,AA35,0)-IF(AB35&gt;0,AB35,0))/(AC35-AD35-AE35),0)</f>
        <v>0</v>
      </c>
      <c r="AJ35" s="96"/>
      <c r="AK35" s="97">
        <f>IF(AI35&lt;=0.05,1.5,0)</f>
        <v>1.5</v>
      </c>
      <c r="AL35" s="89">
        <f>AJ35+AK35</f>
        <v>1.5</v>
      </c>
      <c r="AM35" s="98">
        <v>13556.2</v>
      </c>
      <c r="AN35" s="88">
        <v>14651.6</v>
      </c>
      <c r="AO35" s="99">
        <f>AM35/AN35</f>
        <v>0.92523683420240799</v>
      </c>
      <c r="AP35" s="96"/>
      <c r="AQ35" s="97">
        <f>IF(AO35&lt;=1,1,0)</f>
        <v>1</v>
      </c>
      <c r="AR35" s="100">
        <f>AP35+AQ35</f>
        <v>1</v>
      </c>
      <c r="AS35" s="98">
        <v>32472.799999999999</v>
      </c>
      <c r="AT35" s="88">
        <v>36362.9</v>
      </c>
      <c r="AU35" s="95">
        <f>AS35/AT35</f>
        <v>0.89302008365669394</v>
      </c>
      <c r="AV35" s="96"/>
      <c r="AW35" s="97">
        <f>IF(AU35&lt;=1,1,0)</f>
        <v>1</v>
      </c>
      <c r="AX35" s="100">
        <f>AV35+AW35</f>
        <v>1</v>
      </c>
      <c r="AY35" s="101">
        <f t="shared" si="23"/>
        <v>6.5</v>
      </c>
    </row>
    <row r="36" spans="1:51" s="6" customFormat="1" x14ac:dyDescent="0.2">
      <c r="A36" s="74" t="s">
        <v>87</v>
      </c>
      <c r="B36" s="45">
        <v>0</v>
      </c>
      <c r="C36" s="45">
        <v>6142.3730700000006</v>
      </c>
      <c r="D36" s="45">
        <v>0</v>
      </c>
      <c r="E36" s="53">
        <f t="shared" si="12"/>
        <v>0</v>
      </c>
      <c r="F36" s="69">
        <f>IF(E36&lt;=1.05,1,0)</f>
        <v>1</v>
      </c>
      <c r="G36" s="61"/>
      <c r="H36" s="62">
        <f t="shared" si="0"/>
        <v>1</v>
      </c>
      <c r="I36" s="45">
        <v>0</v>
      </c>
      <c r="J36" s="50">
        <v>277865.03894</v>
      </c>
      <c r="K36" s="51">
        <v>144905.03894</v>
      </c>
      <c r="L36" s="45">
        <v>55680</v>
      </c>
      <c r="M36" s="45">
        <v>0</v>
      </c>
      <c r="N36" s="53">
        <f t="shared" si="14"/>
        <v>0</v>
      </c>
      <c r="O36" s="69">
        <f>IF(N36&lt;=1,1,0)</f>
        <v>1</v>
      </c>
      <c r="P36" s="61"/>
      <c r="Q36" s="62">
        <f t="shared" si="2"/>
        <v>1</v>
      </c>
      <c r="R36" s="70">
        <v>0</v>
      </c>
      <c r="S36" s="45">
        <v>284007.41200999997</v>
      </c>
      <c r="T36" s="55">
        <v>95843.812359999996</v>
      </c>
      <c r="U36" s="53">
        <f t="shared" si="3"/>
        <v>0</v>
      </c>
      <c r="V36" s="69">
        <f>IF(U36&lt;=0.15,1,0)</f>
        <v>1</v>
      </c>
      <c r="W36" s="61"/>
      <c r="X36" s="62">
        <f t="shared" si="15"/>
        <v>1</v>
      </c>
      <c r="Y36" s="45">
        <f t="shared" si="16"/>
        <v>6142.3730700000006</v>
      </c>
      <c r="Z36" s="57"/>
      <c r="AA36" s="57">
        <v>6142.3730700000006</v>
      </c>
      <c r="AB36" s="57"/>
      <c r="AC36" s="57">
        <f t="shared" si="5"/>
        <v>277865.03894</v>
      </c>
      <c r="AD36" s="57">
        <f t="shared" si="5"/>
        <v>144905.03894</v>
      </c>
      <c r="AE36" s="57">
        <f t="shared" si="5"/>
        <v>55680</v>
      </c>
      <c r="AF36" s="57">
        <f t="shared" si="17"/>
        <v>77280</v>
      </c>
      <c r="AG36" s="57">
        <f t="shared" si="32"/>
        <v>3864</v>
      </c>
      <c r="AH36" s="57">
        <f t="shared" si="24"/>
        <v>10006.373070000001</v>
      </c>
      <c r="AI36" s="73">
        <f t="shared" si="8"/>
        <v>0</v>
      </c>
      <c r="AJ36" s="60">
        <f>IF(AI36&lt;=0.1,1.5,0)</f>
        <v>1.5</v>
      </c>
      <c r="AK36" s="75"/>
      <c r="AL36" s="62">
        <f t="shared" si="9"/>
        <v>1.5</v>
      </c>
      <c r="AM36" s="63">
        <v>7940.1</v>
      </c>
      <c r="AN36" s="61">
        <v>13609.1</v>
      </c>
      <c r="AO36" s="72">
        <f t="shared" si="10"/>
        <v>0.58344049202371939</v>
      </c>
      <c r="AP36" s="60">
        <f>IF(AO36&lt;=1,1,0)</f>
        <v>1</v>
      </c>
      <c r="AQ36" s="75"/>
      <c r="AR36" s="76">
        <f t="shared" si="20"/>
        <v>1</v>
      </c>
      <c r="AS36" s="63">
        <v>19747.400000000001</v>
      </c>
      <c r="AT36" s="61">
        <v>33418.300000000003</v>
      </c>
      <c r="AU36" s="73">
        <f t="shared" si="21"/>
        <v>0.59091575573862221</v>
      </c>
      <c r="AV36" s="60">
        <f>IF(AU36&lt;=1,1,0)</f>
        <v>1</v>
      </c>
      <c r="AW36" s="75"/>
      <c r="AX36" s="76">
        <f t="shared" si="11"/>
        <v>1</v>
      </c>
      <c r="AY36" s="71">
        <f t="shared" si="23"/>
        <v>6.5</v>
      </c>
    </row>
    <row r="37" spans="1:51" s="6" customFormat="1" x14ac:dyDescent="0.2">
      <c r="A37" s="84" t="s">
        <v>88</v>
      </c>
      <c r="B37" s="85">
        <v>0</v>
      </c>
      <c r="C37" s="85">
        <v>6903.9525800000001</v>
      </c>
      <c r="D37" s="85">
        <v>0</v>
      </c>
      <c r="E37" s="86">
        <f t="shared" si="12"/>
        <v>0</v>
      </c>
      <c r="F37" s="87"/>
      <c r="G37" s="88">
        <f t="shared" si="25"/>
        <v>1</v>
      </c>
      <c r="H37" s="89">
        <f t="shared" si="0"/>
        <v>1</v>
      </c>
      <c r="I37" s="85">
        <v>0</v>
      </c>
      <c r="J37" s="90">
        <v>353399.14687</v>
      </c>
      <c r="K37" s="91">
        <v>258375.73737000002</v>
      </c>
      <c r="L37" s="85">
        <v>58960</v>
      </c>
      <c r="M37" s="85">
        <v>0</v>
      </c>
      <c r="N37" s="86">
        <f t="shared" si="14"/>
        <v>0</v>
      </c>
      <c r="O37" s="87"/>
      <c r="P37" s="88">
        <f t="shared" si="26"/>
        <v>1</v>
      </c>
      <c r="Q37" s="89">
        <f t="shared" si="2"/>
        <v>1</v>
      </c>
      <c r="R37" s="102">
        <v>0</v>
      </c>
      <c r="S37" s="85">
        <v>360303.09944999998</v>
      </c>
      <c r="T37" s="93">
        <v>152213.55672999998</v>
      </c>
      <c r="U37" s="86">
        <f t="shared" si="3"/>
        <v>0</v>
      </c>
      <c r="V37" s="87"/>
      <c r="W37" s="88">
        <f t="shared" si="27"/>
        <v>1</v>
      </c>
      <c r="X37" s="89">
        <f t="shared" si="15"/>
        <v>1</v>
      </c>
      <c r="Y37" s="85">
        <f t="shared" si="16"/>
        <v>6903.9525800000001</v>
      </c>
      <c r="Z37" s="94"/>
      <c r="AA37" s="94">
        <v>6903.9525800000001</v>
      </c>
      <c r="AB37" s="94"/>
      <c r="AC37" s="94">
        <f t="shared" si="5"/>
        <v>353399.14687</v>
      </c>
      <c r="AD37" s="94">
        <f t="shared" si="5"/>
        <v>258375.73737000002</v>
      </c>
      <c r="AE37" s="94">
        <f t="shared" si="5"/>
        <v>58960</v>
      </c>
      <c r="AF37" s="94">
        <f t="shared" si="17"/>
        <v>36063.40949999998</v>
      </c>
      <c r="AG37" s="94">
        <f t="shared" si="32"/>
        <v>1803.170474999999</v>
      </c>
      <c r="AH37" s="94">
        <f t="shared" si="24"/>
        <v>8707.123055</v>
      </c>
      <c r="AI37" s="95">
        <f t="shared" si="8"/>
        <v>0</v>
      </c>
      <c r="AJ37" s="87"/>
      <c r="AK37" s="97">
        <f>IF(AI37&lt;=0.05,1.5,0)</f>
        <v>1.5</v>
      </c>
      <c r="AL37" s="89">
        <f t="shared" si="9"/>
        <v>1.5</v>
      </c>
      <c r="AM37" s="98">
        <v>13041.6</v>
      </c>
      <c r="AN37" s="88">
        <v>14651.6</v>
      </c>
      <c r="AO37" s="99">
        <f t="shared" si="10"/>
        <v>0.8901143902372437</v>
      </c>
      <c r="AP37" s="87"/>
      <c r="AQ37" s="97">
        <f>IF(AO37&lt;=1,1,0)</f>
        <v>1</v>
      </c>
      <c r="AR37" s="100">
        <f t="shared" si="20"/>
        <v>1</v>
      </c>
      <c r="AS37" s="98">
        <v>34274.400000000001</v>
      </c>
      <c r="AT37" s="88">
        <v>36362.9</v>
      </c>
      <c r="AU37" s="95">
        <f t="shared" si="21"/>
        <v>0.94256508694301055</v>
      </c>
      <c r="AV37" s="87"/>
      <c r="AW37" s="97">
        <f>IF(AU37&lt;=1,1,0)</f>
        <v>1</v>
      </c>
      <c r="AX37" s="100">
        <f t="shared" si="11"/>
        <v>1</v>
      </c>
      <c r="AY37" s="101">
        <f t="shared" si="23"/>
        <v>6.5</v>
      </c>
    </row>
    <row r="38" spans="1:51" x14ac:dyDescent="0.2">
      <c r="A38" s="74" t="s">
        <v>89</v>
      </c>
      <c r="B38" s="45">
        <v>0</v>
      </c>
      <c r="C38" s="45">
        <v>12094.79722</v>
      </c>
      <c r="D38" s="45">
        <v>0</v>
      </c>
      <c r="E38" s="53">
        <f t="shared" si="12"/>
        <v>0</v>
      </c>
      <c r="F38" s="69">
        <f>IF(E38&lt;=1.05,1,0)</f>
        <v>1</v>
      </c>
      <c r="G38" s="61"/>
      <c r="H38" s="62">
        <f t="shared" si="0"/>
        <v>1</v>
      </c>
      <c r="I38" s="45">
        <v>0</v>
      </c>
      <c r="J38" s="50">
        <v>436701.54042999999</v>
      </c>
      <c r="K38" s="51">
        <v>315346.54042999999</v>
      </c>
      <c r="L38" s="45">
        <v>77990</v>
      </c>
      <c r="M38" s="45">
        <v>0</v>
      </c>
      <c r="N38" s="53">
        <f t="shared" si="14"/>
        <v>0</v>
      </c>
      <c r="O38" s="69">
        <f>IF(N38&lt;=1,1,0)</f>
        <v>1</v>
      </c>
      <c r="P38" s="61"/>
      <c r="Q38" s="62">
        <f t="shared" si="2"/>
        <v>1</v>
      </c>
      <c r="R38" s="70">
        <v>0</v>
      </c>
      <c r="S38" s="45">
        <v>448796.33765</v>
      </c>
      <c r="T38" s="55">
        <v>227362.50347</v>
      </c>
      <c r="U38" s="53">
        <f t="shared" si="3"/>
        <v>0</v>
      </c>
      <c r="V38" s="69">
        <f>IF(U38&lt;=0.15,1,0)</f>
        <v>1</v>
      </c>
      <c r="W38" s="61"/>
      <c r="X38" s="62">
        <f t="shared" si="15"/>
        <v>1</v>
      </c>
      <c r="Y38" s="45">
        <f t="shared" si="16"/>
        <v>12094.79722</v>
      </c>
      <c r="Z38" s="57"/>
      <c r="AA38" s="57">
        <v>12094.79722</v>
      </c>
      <c r="AB38" s="57"/>
      <c r="AC38" s="57">
        <f t="shared" si="5"/>
        <v>436701.54042999999</v>
      </c>
      <c r="AD38" s="57">
        <f t="shared" si="5"/>
        <v>315346.54042999999</v>
      </c>
      <c r="AE38" s="57">
        <f t="shared" si="5"/>
        <v>77990</v>
      </c>
      <c r="AF38" s="57">
        <f t="shared" si="17"/>
        <v>43365</v>
      </c>
      <c r="AG38" s="57">
        <f t="shared" si="32"/>
        <v>2168.25</v>
      </c>
      <c r="AH38" s="57">
        <f t="shared" si="24"/>
        <v>14263.04722</v>
      </c>
      <c r="AI38" s="73">
        <f t="shared" si="8"/>
        <v>0</v>
      </c>
      <c r="AJ38" s="60">
        <f>IF(AI38&lt;=0.1,1.5,0)</f>
        <v>1.5</v>
      </c>
      <c r="AK38" s="75"/>
      <c r="AL38" s="62">
        <f t="shared" si="9"/>
        <v>1.5</v>
      </c>
      <c r="AM38" s="63">
        <v>11620.7</v>
      </c>
      <c r="AN38" s="61">
        <v>17315.3</v>
      </c>
      <c r="AO38" s="72">
        <f t="shared" si="10"/>
        <v>0.67112322627964871</v>
      </c>
      <c r="AP38" s="60">
        <f>IF(AO38&lt;=1,1,0)</f>
        <v>1</v>
      </c>
      <c r="AQ38" s="75"/>
      <c r="AR38" s="76">
        <f t="shared" si="20"/>
        <v>1</v>
      </c>
      <c r="AS38" s="63">
        <v>35466.9</v>
      </c>
      <c r="AT38" s="61">
        <v>41252.800000000003</v>
      </c>
      <c r="AU38" s="73">
        <f t="shared" si="21"/>
        <v>0.85974527789628818</v>
      </c>
      <c r="AV38" s="60">
        <f>IF(AU38&lt;=1,1,0)</f>
        <v>1</v>
      </c>
      <c r="AW38" s="75"/>
      <c r="AX38" s="76">
        <f t="shared" si="11"/>
        <v>1</v>
      </c>
      <c r="AY38" s="71">
        <f t="shared" si="23"/>
        <v>6.5</v>
      </c>
    </row>
    <row r="39" spans="1:51" x14ac:dyDescent="0.2">
      <c r="A39" s="84" t="s">
        <v>90</v>
      </c>
      <c r="B39" s="85">
        <v>4000</v>
      </c>
      <c r="C39" s="85">
        <v>5435.7447000000002</v>
      </c>
      <c r="D39" s="85">
        <v>4000</v>
      </c>
      <c r="E39" s="86">
        <f t="shared" si="12"/>
        <v>0.42391990533614166</v>
      </c>
      <c r="F39" s="87"/>
      <c r="G39" s="88">
        <f t="shared" si="25"/>
        <v>1</v>
      </c>
      <c r="H39" s="89">
        <f>F39+G39</f>
        <v>1</v>
      </c>
      <c r="I39" s="85">
        <v>4000</v>
      </c>
      <c r="J39" s="90">
        <v>546070.71140000003</v>
      </c>
      <c r="K39" s="91">
        <v>417235.88939999999</v>
      </c>
      <c r="L39" s="85">
        <v>74716</v>
      </c>
      <c r="M39" s="85">
        <v>0</v>
      </c>
      <c r="N39" s="86">
        <f t="shared" si="14"/>
        <v>7.3911438796653711E-2</v>
      </c>
      <c r="O39" s="87"/>
      <c r="P39" s="88">
        <f t="shared" si="26"/>
        <v>1</v>
      </c>
      <c r="Q39" s="89">
        <f>O39+P39</f>
        <v>1</v>
      </c>
      <c r="R39" s="102">
        <v>353.11129</v>
      </c>
      <c r="S39" s="85">
        <v>552200.90509999997</v>
      </c>
      <c r="T39" s="93">
        <v>210139.97518000001</v>
      </c>
      <c r="U39" s="86">
        <f t="shared" si="3"/>
        <v>1.0323052389601597E-3</v>
      </c>
      <c r="V39" s="87"/>
      <c r="W39" s="88">
        <f t="shared" si="27"/>
        <v>1</v>
      </c>
      <c r="X39" s="89">
        <f t="shared" si="15"/>
        <v>1</v>
      </c>
      <c r="Y39" s="85">
        <f t="shared" si="16"/>
        <v>5435.7447000000002</v>
      </c>
      <c r="Z39" s="94"/>
      <c r="AA39" s="94">
        <v>5435.7447000000002</v>
      </c>
      <c r="AB39" s="94"/>
      <c r="AC39" s="94">
        <f t="shared" si="5"/>
        <v>546070.71140000003</v>
      </c>
      <c r="AD39" s="94">
        <f t="shared" si="5"/>
        <v>417235.88939999999</v>
      </c>
      <c r="AE39" s="94">
        <f t="shared" si="5"/>
        <v>74716</v>
      </c>
      <c r="AF39" s="94">
        <f t="shared" si="17"/>
        <v>54118.822000000044</v>
      </c>
      <c r="AG39" s="94">
        <f t="shared" si="32"/>
        <v>2705.9411000000023</v>
      </c>
      <c r="AH39" s="94">
        <f t="shared" si="24"/>
        <v>8141.6858000000029</v>
      </c>
      <c r="AI39" s="95">
        <f t="shared" si="8"/>
        <v>0</v>
      </c>
      <c r="AJ39" s="96"/>
      <c r="AK39" s="97">
        <f>IF(AI39&lt;=0.05,1.5,0)</f>
        <v>1.5</v>
      </c>
      <c r="AL39" s="89">
        <f t="shared" si="9"/>
        <v>1.5</v>
      </c>
      <c r="AM39" s="98">
        <v>19344.400000000001</v>
      </c>
      <c r="AN39" s="88">
        <v>20866.099999999999</v>
      </c>
      <c r="AO39" s="99">
        <f t="shared" si="10"/>
        <v>0.9270730994292179</v>
      </c>
      <c r="AP39" s="96"/>
      <c r="AQ39" s="97">
        <f>IF(AO39&lt;=1,1,0)</f>
        <v>1</v>
      </c>
      <c r="AR39" s="100">
        <f>AP39+AQ39</f>
        <v>1</v>
      </c>
      <c r="AS39" s="98">
        <v>40839.199999999997</v>
      </c>
      <c r="AT39" s="88">
        <v>47892.9</v>
      </c>
      <c r="AU39" s="95">
        <f t="shared" si="21"/>
        <v>0.85271929659719903</v>
      </c>
      <c r="AV39" s="96"/>
      <c r="AW39" s="97">
        <f>IF(AU39&lt;=1,1,0)</f>
        <v>1</v>
      </c>
      <c r="AX39" s="100">
        <f t="shared" si="11"/>
        <v>1</v>
      </c>
      <c r="AY39" s="101">
        <f t="shared" si="23"/>
        <v>6.5</v>
      </c>
    </row>
    <row r="40" spans="1:51" ht="13.5" thickBot="1" x14ac:dyDescent="0.25">
      <c r="A40" s="84" t="s">
        <v>91</v>
      </c>
      <c r="B40" s="85">
        <v>0</v>
      </c>
      <c r="C40" s="85">
        <v>11221.838089999999</v>
      </c>
      <c r="D40" s="85">
        <v>0</v>
      </c>
      <c r="E40" s="86">
        <f t="shared" si="12"/>
        <v>0</v>
      </c>
      <c r="F40" s="87"/>
      <c r="G40" s="88">
        <f>IF(E40&lt;=1.05,1,0)</f>
        <v>1</v>
      </c>
      <c r="H40" s="89">
        <f t="shared" si="0"/>
        <v>1</v>
      </c>
      <c r="I40" s="85">
        <v>0</v>
      </c>
      <c r="J40" s="90">
        <v>633653.88375000004</v>
      </c>
      <c r="K40" s="91">
        <v>446206.88374999998</v>
      </c>
      <c r="L40" s="85">
        <v>113551</v>
      </c>
      <c r="M40" s="85">
        <v>0</v>
      </c>
      <c r="N40" s="86">
        <f t="shared" si="14"/>
        <v>0</v>
      </c>
      <c r="O40" s="87"/>
      <c r="P40" s="88">
        <f>IF(N40&lt;=0.5,1,0)</f>
        <v>1</v>
      </c>
      <c r="Q40" s="89">
        <f t="shared" si="2"/>
        <v>1</v>
      </c>
      <c r="R40" s="102">
        <v>0</v>
      </c>
      <c r="S40" s="85">
        <v>644875.72184000001</v>
      </c>
      <c r="T40" s="93">
        <v>290754.29707999999</v>
      </c>
      <c r="U40" s="86">
        <f t="shared" si="3"/>
        <v>0</v>
      </c>
      <c r="V40" s="87"/>
      <c r="W40" s="88">
        <f>IF(U40&lt;=0.15,1,0)</f>
        <v>1</v>
      </c>
      <c r="X40" s="89">
        <f t="shared" si="15"/>
        <v>1</v>
      </c>
      <c r="Y40" s="85">
        <f t="shared" si="16"/>
        <v>11221.838089999999</v>
      </c>
      <c r="Z40" s="94"/>
      <c r="AA40" s="94">
        <v>11221.838089999999</v>
      </c>
      <c r="AB40" s="94"/>
      <c r="AC40" s="94">
        <f t="shared" si="5"/>
        <v>633653.88375000004</v>
      </c>
      <c r="AD40" s="94">
        <f t="shared" si="5"/>
        <v>446206.88374999998</v>
      </c>
      <c r="AE40" s="94">
        <f t="shared" si="5"/>
        <v>113551</v>
      </c>
      <c r="AF40" s="94">
        <f t="shared" si="17"/>
        <v>73896.000000000058</v>
      </c>
      <c r="AG40" s="94">
        <f>AF40*10%</f>
        <v>7389.6000000000058</v>
      </c>
      <c r="AH40" s="94">
        <f t="shared" si="24"/>
        <v>18611.438090000003</v>
      </c>
      <c r="AI40" s="95">
        <f t="shared" si="8"/>
        <v>0</v>
      </c>
      <c r="AJ40" s="87"/>
      <c r="AK40" s="97">
        <f>IF(AI40&lt;=0.05,1.5,0)</f>
        <v>1.5</v>
      </c>
      <c r="AL40" s="89">
        <f t="shared" si="9"/>
        <v>1.5</v>
      </c>
      <c r="AM40" s="98">
        <v>17914.3</v>
      </c>
      <c r="AN40" s="88">
        <v>20866.099999999999</v>
      </c>
      <c r="AO40" s="99">
        <f t="shared" si="10"/>
        <v>0.85853609443067946</v>
      </c>
      <c r="AP40" s="87"/>
      <c r="AQ40" s="97">
        <f>IF(AO40&lt;=1,1,0)</f>
        <v>1</v>
      </c>
      <c r="AR40" s="100">
        <f>AP40+AQ40</f>
        <v>1</v>
      </c>
      <c r="AS40" s="98">
        <v>41557</v>
      </c>
      <c r="AT40" s="88">
        <v>47892.9</v>
      </c>
      <c r="AU40" s="95">
        <f t="shared" si="21"/>
        <v>0.8677069043636948</v>
      </c>
      <c r="AV40" s="87"/>
      <c r="AW40" s="97">
        <f>IF(AU40&lt;=1,1,0)</f>
        <v>1</v>
      </c>
      <c r="AX40" s="100">
        <f t="shared" si="11"/>
        <v>1</v>
      </c>
      <c r="AY40" s="101">
        <f t="shared" si="23"/>
        <v>6.5</v>
      </c>
    </row>
    <row r="41" spans="1:51" ht="14.25" thickTop="1" thickBot="1" x14ac:dyDescent="0.25">
      <c r="A41" s="103" t="s">
        <v>92</v>
      </c>
      <c r="B41" s="104">
        <f>SUM(B9:B40)</f>
        <v>2474355.1089999997</v>
      </c>
      <c r="C41" s="104">
        <f>SUM(C9:C40)</f>
        <v>477275.65932999999</v>
      </c>
      <c r="D41" s="104">
        <f>SUM(D9:D40)</f>
        <v>2478760.6089999997</v>
      </c>
      <c r="E41" s="105"/>
      <c r="F41" s="105"/>
      <c r="G41" s="105"/>
      <c r="H41" s="106"/>
      <c r="I41" s="105">
        <f>SUM(I9:I40)</f>
        <v>2498490.9</v>
      </c>
      <c r="J41" s="107">
        <f>SUM(J9:J40)</f>
        <v>28342324.366889998</v>
      </c>
      <c r="K41" s="105">
        <f>SUM(K9:K40)</f>
        <v>20846409.858439997</v>
      </c>
      <c r="L41" s="105">
        <f>SUM(L9:L40)</f>
        <v>2571735</v>
      </c>
      <c r="M41" s="105">
        <f>SUM(M9:M40)</f>
        <v>0</v>
      </c>
      <c r="N41" s="105"/>
      <c r="O41" s="105"/>
      <c r="P41" s="105"/>
      <c r="Q41" s="106"/>
      <c r="R41" s="108">
        <f>SUM(R9:R40)</f>
        <v>190095.71493000002</v>
      </c>
      <c r="S41" s="105">
        <f>SUM(S9:S40)</f>
        <v>28826141.679220006</v>
      </c>
      <c r="T41" s="105">
        <f>SUM(T9:T40)</f>
        <v>9903979.945919998</v>
      </c>
      <c r="U41" s="105"/>
      <c r="V41" s="105"/>
      <c r="W41" s="105"/>
      <c r="X41" s="106"/>
      <c r="Y41" s="109">
        <f t="shared" ref="Y41:AE41" si="33">SUM(Y9:Y40)</f>
        <v>477275.65932999999</v>
      </c>
      <c r="Z41" s="110">
        <f t="shared" si="33"/>
        <v>26771.9</v>
      </c>
      <c r="AA41" s="110">
        <f t="shared" si="33"/>
        <v>454869.23504999996</v>
      </c>
      <c r="AB41" s="110">
        <f t="shared" si="33"/>
        <v>0</v>
      </c>
      <c r="AC41" s="110">
        <f t="shared" si="33"/>
        <v>28342324.366889998</v>
      </c>
      <c r="AD41" s="110">
        <f t="shared" si="33"/>
        <v>20846409.858439997</v>
      </c>
      <c r="AE41" s="110">
        <f t="shared" si="33"/>
        <v>2571735</v>
      </c>
      <c r="AF41" s="109"/>
      <c r="AG41" s="109"/>
      <c r="AH41" s="109"/>
      <c r="AI41" s="105"/>
      <c r="AJ41" s="105"/>
      <c r="AK41" s="105"/>
      <c r="AL41" s="105"/>
      <c r="AM41" s="110">
        <f>SUM(AM9:AM40)</f>
        <v>770604.7999999997</v>
      </c>
      <c r="AN41" s="110">
        <f>SUM(AN9:AN40)</f>
        <v>860407.89999999967</v>
      </c>
      <c r="AO41" s="105"/>
      <c r="AP41" s="105"/>
      <c r="AQ41" s="105"/>
      <c r="AR41" s="105"/>
      <c r="AS41" s="110">
        <f>SUM(AS9:AS40)</f>
        <v>1689728.0999999994</v>
      </c>
      <c r="AT41" s="110">
        <f>SUM(AT9:AT40)</f>
        <v>1894773.9999999991</v>
      </c>
      <c r="AU41" s="105"/>
      <c r="AV41" s="105"/>
      <c r="AW41" s="105"/>
      <c r="AX41" s="105"/>
      <c r="AY41" s="111"/>
    </row>
    <row r="42" spans="1:51" ht="13.5" hidden="1" thickTop="1" x14ac:dyDescent="0.2"/>
    <row r="43" spans="1:51" ht="26.25" hidden="1" thickTop="1" x14ac:dyDescent="0.2">
      <c r="B43" s="112" t="s">
        <v>93</v>
      </c>
      <c r="C43" s="112" t="s">
        <v>94</v>
      </c>
      <c r="D43" s="112" t="s">
        <v>95</v>
      </c>
      <c r="L43" s="113">
        <f>L9+L11+L12+L13+L40+L41</f>
        <v>3022713</v>
      </c>
      <c r="N43" t="s">
        <v>96</v>
      </c>
      <c r="T43">
        <v>1000</v>
      </c>
      <c r="AI43" t="s">
        <v>97</v>
      </c>
    </row>
    <row r="44" spans="1:51" ht="13.5" hidden="1" thickTop="1" x14ac:dyDescent="0.2">
      <c r="L44" s="114" t="e">
        <f>#REF!-L43</f>
        <v>#REF!</v>
      </c>
      <c r="O44">
        <f>0.25*0.5</f>
        <v>0.125</v>
      </c>
      <c r="P44">
        <v>85.31</v>
      </c>
      <c r="AI44" t="s">
        <v>98</v>
      </c>
    </row>
    <row r="45" spans="1:51" ht="13.5" hidden="1" thickTop="1" x14ac:dyDescent="0.2">
      <c r="O45">
        <v>1</v>
      </c>
      <c r="P45">
        <f>P44/O44</f>
        <v>682.48</v>
      </c>
      <c r="AI45" t="s">
        <v>99</v>
      </c>
    </row>
    <row r="46" spans="1:51" ht="13.5" hidden="1" thickTop="1" x14ac:dyDescent="0.2"/>
    <row r="47" spans="1:51" ht="13.5" thickTop="1" x14ac:dyDescent="0.2"/>
    <row r="50" spans="10:10" x14ac:dyDescent="0.2">
      <c r="J50" s="115"/>
    </row>
  </sheetData>
  <mergeCells count="14">
    <mergeCell ref="AM3:AR3"/>
    <mergeCell ref="AS3:AX3"/>
    <mergeCell ref="B4:D4"/>
    <mergeCell ref="I4:K4"/>
    <mergeCell ref="R4:T4"/>
    <mergeCell ref="Y4:AA4"/>
    <mergeCell ref="AM4:AN4"/>
    <mergeCell ref="AS4:AT4"/>
    <mergeCell ref="Y3:AL3"/>
    <mergeCell ref="B1:H2"/>
    <mergeCell ref="A3:A6"/>
    <mergeCell ref="B3:H3"/>
    <mergeCell ref="I3:Q3"/>
    <mergeCell ref="R3:X3"/>
  </mergeCells>
  <pageMargins left="0.19685039370078741" right="0.19685039370078741" top="0.35433070866141736" bottom="0.27559055118110237" header="0.31496062992125984" footer="0.31496062992125984"/>
  <pageSetup paperSize="9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4 кв.(план)</vt:lpstr>
      <vt:lpstr>'за 4 кв.(план)'!Заголовки_для_печати</vt:lpstr>
      <vt:lpstr>'за 4 кв.(план)'!Область_печати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Аксененко А.В.</cp:lastModifiedBy>
  <dcterms:created xsi:type="dcterms:W3CDTF">2021-01-29T11:13:29Z</dcterms:created>
  <dcterms:modified xsi:type="dcterms:W3CDTF">2021-02-01T09:34:26Z</dcterms:modified>
</cp:coreProperties>
</file>