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30660" windowHeight="13224"/>
  </bookViews>
  <sheets>
    <sheet name="за 1 кв." sheetId="1" r:id="rId1"/>
  </sheets>
  <definedNames>
    <definedName name="_xlnm.Print_Titles" localSheetId="0">'за 1 кв.'!$A:$A</definedName>
    <definedName name="_xlnm.Print_Area" localSheetId="0">'за 1 кв.'!$A$1:$BE$42</definedName>
  </definedNames>
  <calcPr calcId="145621" fullCalcOnLoad="1"/>
</workbook>
</file>

<file path=xl/calcChain.xml><?xml version="1.0" encoding="utf-8"?>
<calcChain xmlns="http://schemas.openxmlformats.org/spreadsheetml/2006/main">
  <c r="BE17" i="1" l="1"/>
  <c r="AZ17" i="1"/>
  <c r="AZ10" i="1"/>
  <c r="AT42" i="1"/>
  <c r="AS42" i="1"/>
  <c r="AN42" i="1"/>
  <c r="AM42" i="1"/>
  <c r="AB42" i="1"/>
  <c r="AA42" i="1"/>
  <c r="Z42" i="1"/>
  <c r="T42" i="1"/>
  <c r="S42" i="1"/>
  <c r="R42" i="1"/>
  <c r="M42" i="1"/>
  <c r="L42" i="1"/>
  <c r="K42" i="1"/>
  <c r="J42" i="1"/>
  <c r="I42" i="1"/>
  <c r="D42" i="1"/>
  <c r="C42" i="1"/>
  <c r="B42" i="1"/>
  <c r="BP41" i="1"/>
  <c r="BU41" i="1" s="1"/>
  <c r="BD41" i="1"/>
  <c r="AZ41" i="1"/>
  <c r="BA41" i="1" s="1"/>
  <c r="AW41" i="1"/>
  <c r="AX41" i="1" s="1"/>
  <c r="AU41" i="1"/>
  <c r="AO41" i="1"/>
  <c r="AQ41" i="1" s="1"/>
  <c r="AR41" i="1" s="1"/>
  <c r="AE41" i="1"/>
  <c r="AD41" i="1"/>
  <c r="BI41" i="1" s="1"/>
  <c r="AC41" i="1"/>
  <c r="Y41" i="1"/>
  <c r="AI41" i="1" s="1"/>
  <c r="AK41" i="1" s="1"/>
  <c r="AL41" i="1" s="1"/>
  <c r="W41" i="1"/>
  <c r="X41" i="1" s="1"/>
  <c r="U41" i="1"/>
  <c r="N41" i="1"/>
  <c r="P41" i="1" s="1"/>
  <c r="Q41" i="1" s="1"/>
  <c r="E41" i="1"/>
  <c r="G41" i="1" s="1"/>
  <c r="H41" i="1" s="1"/>
  <c r="BE41" i="1" s="1"/>
  <c r="BP40" i="1"/>
  <c r="BT40" i="1" s="1"/>
  <c r="BD40" i="1"/>
  <c r="AZ40" i="1"/>
  <c r="BA40" i="1" s="1"/>
  <c r="AW40" i="1"/>
  <c r="AX40" i="1" s="1"/>
  <c r="AU40" i="1"/>
  <c r="AO40" i="1"/>
  <c r="AQ40" i="1" s="1"/>
  <c r="AR40" i="1" s="1"/>
  <c r="AE40" i="1"/>
  <c r="AD40" i="1"/>
  <c r="BI40" i="1" s="1"/>
  <c r="AC40" i="1"/>
  <c r="Y40" i="1"/>
  <c r="AI40" i="1" s="1"/>
  <c r="AK40" i="1" s="1"/>
  <c r="AL40" i="1" s="1"/>
  <c r="W40" i="1"/>
  <c r="X40" i="1" s="1"/>
  <c r="U40" i="1"/>
  <c r="N40" i="1"/>
  <c r="P40" i="1" s="1"/>
  <c r="Q40" i="1" s="1"/>
  <c r="G40" i="1"/>
  <c r="H40" i="1" s="1"/>
  <c r="BE40" i="1" s="1"/>
  <c r="E40" i="1"/>
  <c r="BU39" i="1"/>
  <c r="BS39" i="1"/>
  <c r="BQ39" i="1"/>
  <c r="BP39" i="1"/>
  <c r="BT39" i="1" s="1"/>
  <c r="BD39" i="1"/>
  <c r="BA39" i="1"/>
  <c r="AZ39" i="1"/>
  <c r="AU39" i="1"/>
  <c r="AV39" i="1" s="1"/>
  <c r="AX39" i="1" s="1"/>
  <c r="AP39" i="1"/>
  <c r="AR39" i="1" s="1"/>
  <c r="AO39" i="1"/>
  <c r="AE39" i="1"/>
  <c r="AD39" i="1"/>
  <c r="BI39" i="1" s="1"/>
  <c r="AC39" i="1"/>
  <c r="AI39" i="1" s="1"/>
  <c r="AJ39" i="1" s="1"/>
  <c r="AL39" i="1" s="1"/>
  <c r="Y39" i="1"/>
  <c r="U39" i="1"/>
  <c r="V39" i="1" s="1"/>
  <c r="X39" i="1" s="1"/>
  <c r="O39" i="1"/>
  <c r="Q39" i="1" s="1"/>
  <c r="N39" i="1"/>
  <c r="E39" i="1"/>
  <c r="F39" i="1" s="1"/>
  <c r="H39" i="1" s="1"/>
  <c r="BP38" i="1"/>
  <c r="BT38" i="1" s="1"/>
  <c r="BD38" i="1"/>
  <c r="AZ38" i="1"/>
  <c r="BA38" i="1" s="1"/>
  <c r="AW38" i="1"/>
  <c r="AX38" i="1" s="1"/>
  <c r="AU38" i="1"/>
  <c r="AO38" i="1"/>
  <c r="AQ38" i="1" s="1"/>
  <c r="AR38" i="1" s="1"/>
  <c r="AE38" i="1"/>
  <c r="AD38" i="1"/>
  <c r="AC38" i="1"/>
  <c r="Y38" i="1"/>
  <c r="AI38" i="1" s="1"/>
  <c r="AK38" i="1" s="1"/>
  <c r="AL38" i="1" s="1"/>
  <c r="W38" i="1"/>
  <c r="X38" i="1" s="1"/>
  <c r="U38" i="1"/>
  <c r="Q38" i="1"/>
  <c r="N38" i="1"/>
  <c r="P38" i="1" s="1"/>
  <c r="G38" i="1"/>
  <c r="H38" i="1" s="1"/>
  <c r="BE38" i="1" s="1"/>
  <c r="E38" i="1"/>
  <c r="BU37" i="1"/>
  <c r="BS37" i="1"/>
  <c r="BQ37" i="1"/>
  <c r="BP37" i="1"/>
  <c r="BT37" i="1" s="1"/>
  <c r="BD37" i="1"/>
  <c r="BA37" i="1"/>
  <c r="AZ37" i="1"/>
  <c r="AU37" i="1"/>
  <c r="AV37" i="1" s="1"/>
  <c r="AX37" i="1" s="1"/>
  <c r="AP37" i="1"/>
  <c r="AR37" i="1" s="1"/>
  <c r="AO37" i="1"/>
  <c r="AE37" i="1"/>
  <c r="AD37" i="1"/>
  <c r="AC37" i="1"/>
  <c r="AF37" i="1" s="1"/>
  <c r="AG37" i="1" s="1"/>
  <c r="AH37" i="1" s="1"/>
  <c r="Y37" i="1"/>
  <c r="X37" i="1"/>
  <c r="U37" i="1"/>
  <c r="V37" i="1" s="1"/>
  <c r="O37" i="1"/>
  <c r="Q37" i="1" s="1"/>
  <c r="N37" i="1"/>
  <c r="H37" i="1"/>
  <c r="E37" i="1"/>
  <c r="F37" i="1" s="1"/>
  <c r="BU36" i="1"/>
  <c r="BS36" i="1"/>
  <c r="BQ36" i="1"/>
  <c r="BP36" i="1"/>
  <c r="BT36" i="1" s="1"/>
  <c r="BD36" i="1"/>
  <c r="BA36" i="1"/>
  <c r="AZ36" i="1"/>
  <c r="AU36" i="1"/>
  <c r="AW36" i="1" s="1"/>
  <c r="AX36" i="1" s="1"/>
  <c r="AQ36" i="1"/>
  <c r="AR36" i="1" s="1"/>
  <c r="AO36" i="1"/>
  <c r="AE36" i="1"/>
  <c r="AD36" i="1"/>
  <c r="BI36" i="1" s="1"/>
  <c r="AC36" i="1"/>
  <c r="AF36" i="1" s="1"/>
  <c r="AG36" i="1" s="1"/>
  <c r="AH36" i="1" s="1"/>
  <c r="Y36" i="1"/>
  <c r="U36" i="1"/>
  <c r="W36" i="1" s="1"/>
  <c r="X36" i="1" s="1"/>
  <c r="P36" i="1"/>
  <c r="Q36" i="1" s="1"/>
  <c r="N36" i="1"/>
  <c r="E36" i="1"/>
  <c r="G36" i="1" s="1"/>
  <c r="H36" i="1" s="1"/>
  <c r="BP35" i="1"/>
  <c r="BU35" i="1" s="1"/>
  <c r="BD35" i="1"/>
  <c r="AZ35" i="1"/>
  <c r="BA35" i="1" s="1"/>
  <c r="AW35" i="1"/>
  <c r="AX35" i="1" s="1"/>
  <c r="AU35" i="1"/>
  <c r="AO35" i="1"/>
  <c r="AQ35" i="1" s="1"/>
  <c r="AR35" i="1" s="1"/>
  <c r="AE35" i="1"/>
  <c r="AD35" i="1"/>
  <c r="BI35" i="1" s="1"/>
  <c r="AC35" i="1"/>
  <c r="Y35" i="1"/>
  <c r="AI35" i="1" s="1"/>
  <c r="AK35" i="1" s="1"/>
  <c r="AL35" i="1" s="1"/>
  <c r="W35" i="1"/>
  <c r="X35" i="1" s="1"/>
  <c r="U35" i="1"/>
  <c r="N35" i="1"/>
  <c r="P35" i="1" s="1"/>
  <c r="Q35" i="1" s="1"/>
  <c r="G35" i="1"/>
  <c r="H35" i="1" s="1"/>
  <c r="BE35" i="1" s="1"/>
  <c r="E35" i="1"/>
  <c r="BU34" i="1"/>
  <c r="BS34" i="1"/>
  <c r="BQ34" i="1"/>
  <c r="BP34" i="1"/>
  <c r="BT34" i="1" s="1"/>
  <c r="BD34" i="1"/>
  <c r="BA34" i="1"/>
  <c r="AZ34" i="1"/>
  <c r="AU34" i="1"/>
  <c r="AW34" i="1" s="1"/>
  <c r="AX34" i="1" s="1"/>
  <c r="AQ34" i="1"/>
  <c r="AR34" i="1" s="1"/>
  <c r="AO34" i="1"/>
  <c r="AE34" i="1"/>
  <c r="AD34" i="1"/>
  <c r="AC34" i="1"/>
  <c r="Y34" i="1"/>
  <c r="X34" i="1"/>
  <c r="U34" i="1"/>
  <c r="W34" i="1" s="1"/>
  <c r="P34" i="1"/>
  <c r="Q34" i="1" s="1"/>
  <c r="N34" i="1"/>
  <c r="H34" i="1"/>
  <c r="E34" i="1"/>
  <c r="G34" i="1" s="1"/>
  <c r="BP33" i="1"/>
  <c r="BR33" i="1" s="1"/>
  <c r="BD33" i="1"/>
  <c r="AZ33" i="1"/>
  <c r="BA33" i="1" s="1"/>
  <c r="AW33" i="1"/>
  <c r="AX33" i="1" s="1"/>
  <c r="AU33" i="1"/>
  <c r="AR33" i="1"/>
  <c r="AO33" i="1"/>
  <c r="AQ33" i="1" s="1"/>
  <c r="AE33" i="1"/>
  <c r="AD33" i="1"/>
  <c r="AF33" i="1" s="1"/>
  <c r="AG33" i="1" s="1"/>
  <c r="AH33" i="1" s="1"/>
  <c r="AC33" i="1"/>
  <c r="Y33" i="1"/>
  <c r="AI33" i="1" s="1"/>
  <c r="AK33" i="1" s="1"/>
  <c r="AL33" i="1" s="1"/>
  <c r="W33" i="1"/>
  <c r="X33" i="1" s="1"/>
  <c r="U33" i="1"/>
  <c r="N33" i="1"/>
  <c r="P33" i="1" s="1"/>
  <c r="Q33" i="1" s="1"/>
  <c r="G33" i="1"/>
  <c r="H33" i="1" s="1"/>
  <c r="E33" i="1"/>
  <c r="BU32" i="1"/>
  <c r="BS32" i="1"/>
  <c r="BQ32" i="1"/>
  <c r="BP32" i="1"/>
  <c r="BT32" i="1" s="1"/>
  <c r="BD32" i="1"/>
  <c r="BA32" i="1"/>
  <c r="AZ32" i="1"/>
  <c r="AX32" i="1"/>
  <c r="AU32" i="1"/>
  <c r="AW32" i="1" s="1"/>
  <c r="AQ32" i="1"/>
  <c r="AR32" i="1" s="1"/>
  <c r="AO32" i="1"/>
  <c r="AG32" i="1"/>
  <c r="AH32" i="1" s="1"/>
  <c r="AE32" i="1"/>
  <c r="AD32" i="1"/>
  <c r="BI32" i="1" s="1"/>
  <c r="BN32" i="1" s="1"/>
  <c r="AC32" i="1"/>
  <c r="AF32" i="1" s="1"/>
  <c r="Y32" i="1"/>
  <c r="U32" i="1"/>
  <c r="W32" i="1" s="1"/>
  <c r="X32" i="1" s="1"/>
  <c r="P32" i="1"/>
  <c r="Q32" i="1" s="1"/>
  <c r="N32" i="1"/>
  <c r="E32" i="1"/>
  <c r="G32" i="1" s="1"/>
  <c r="H32" i="1" s="1"/>
  <c r="BR31" i="1"/>
  <c r="BP31" i="1"/>
  <c r="BD31" i="1"/>
  <c r="AZ31" i="1"/>
  <c r="BA31" i="1" s="1"/>
  <c r="AW31" i="1"/>
  <c r="AX31" i="1" s="1"/>
  <c r="AU31" i="1"/>
  <c r="AO31" i="1"/>
  <c r="AQ31" i="1" s="1"/>
  <c r="AR31" i="1" s="1"/>
  <c r="AE31" i="1"/>
  <c r="AD31" i="1"/>
  <c r="BI31" i="1" s="1"/>
  <c r="AC31" i="1"/>
  <c r="Y31" i="1"/>
  <c r="AI31" i="1" s="1"/>
  <c r="AK31" i="1" s="1"/>
  <c r="AL31" i="1" s="1"/>
  <c r="W31" i="1"/>
  <c r="X31" i="1" s="1"/>
  <c r="U31" i="1"/>
  <c r="N31" i="1"/>
  <c r="P31" i="1" s="1"/>
  <c r="Q31" i="1" s="1"/>
  <c r="G31" i="1"/>
  <c r="H31" i="1" s="1"/>
  <c r="BE31" i="1" s="1"/>
  <c r="E31" i="1"/>
  <c r="BU30" i="1"/>
  <c r="BS30" i="1"/>
  <c r="BQ30" i="1"/>
  <c r="BP30" i="1"/>
  <c r="BT30" i="1" s="1"/>
  <c r="BD30" i="1"/>
  <c r="BA30" i="1"/>
  <c r="AZ30" i="1"/>
  <c r="AU30" i="1"/>
  <c r="AW30" i="1" s="1"/>
  <c r="AX30" i="1" s="1"/>
  <c r="AQ30" i="1"/>
  <c r="AR30" i="1" s="1"/>
  <c r="AO30" i="1"/>
  <c r="AE30" i="1"/>
  <c r="AD30" i="1"/>
  <c r="BI30" i="1" s="1"/>
  <c r="AC30" i="1"/>
  <c r="AI30" i="1" s="1"/>
  <c r="AK30" i="1" s="1"/>
  <c r="AL30" i="1" s="1"/>
  <c r="Y30" i="1"/>
  <c r="U30" i="1"/>
  <c r="W30" i="1" s="1"/>
  <c r="X30" i="1" s="1"/>
  <c r="P30" i="1"/>
  <c r="Q30" i="1" s="1"/>
  <c r="N30" i="1"/>
  <c r="E30" i="1"/>
  <c r="G30" i="1" s="1"/>
  <c r="H30" i="1" s="1"/>
  <c r="BP29" i="1"/>
  <c r="BT29" i="1" s="1"/>
  <c r="BD29" i="1"/>
  <c r="AZ29" i="1"/>
  <c r="BA29" i="1" s="1"/>
  <c r="AW29" i="1"/>
  <c r="AX29" i="1" s="1"/>
  <c r="AU29" i="1"/>
  <c r="AO29" i="1"/>
  <c r="AQ29" i="1" s="1"/>
  <c r="AR29" i="1" s="1"/>
  <c r="AE29" i="1"/>
  <c r="AD29" i="1"/>
  <c r="BI29" i="1" s="1"/>
  <c r="AC29" i="1"/>
  <c r="Y29" i="1"/>
  <c r="AI29" i="1" s="1"/>
  <c r="AK29" i="1" s="1"/>
  <c r="AL29" i="1" s="1"/>
  <c r="W29" i="1"/>
  <c r="X29" i="1" s="1"/>
  <c r="U29" i="1"/>
  <c r="N29" i="1"/>
  <c r="P29" i="1" s="1"/>
  <c r="Q29" i="1" s="1"/>
  <c r="G29" i="1"/>
  <c r="H29" i="1" s="1"/>
  <c r="E29" i="1"/>
  <c r="BU28" i="1"/>
  <c r="BS28" i="1"/>
  <c r="BQ28" i="1"/>
  <c r="BP28" i="1"/>
  <c r="BT28" i="1" s="1"/>
  <c r="BD28" i="1"/>
  <c r="BA28" i="1"/>
  <c r="AZ28" i="1"/>
  <c r="AU28" i="1"/>
  <c r="AW28" i="1" s="1"/>
  <c r="AX28" i="1" s="1"/>
  <c r="AQ28" i="1"/>
  <c r="AR28" i="1" s="1"/>
  <c r="AO28" i="1"/>
  <c r="AE28" i="1"/>
  <c r="AD28" i="1"/>
  <c r="BI28" i="1" s="1"/>
  <c r="AC28" i="1"/>
  <c r="AI28" i="1" s="1"/>
  <c r="AK28" i="1" s="1"/>
  <c r="AL28" i="1" s="1"/>
  <c r="Y28" i="1"/>
  <c r="U28" i="1"/>
  <c r="W28" i="1" s="1"/>
  <c r="X28" i="1" s="1"/>
  <c r="P28" i="1"/>
  <c r="Q28" i="1" s="1"/>
  <c r="N28" i="1"/>
  <c r="E28" i="1"/>
  <c r="G28" i="1" s="1"/>
  <c r="H28" i="1" s="1"/>
  <c r="BE28" i="1" s="1"/>
  <c r="BP27" i="1"/>
  <c r="BT27" i="1" s="1"/>
  <c r="BD27" i="1"/>
  <c r="AZ27" i="1"/>
  <c r="BA27" i="1" s="1"/>
  <c r="AW27" i="1"/>
  <c r="AX27" i="1" s="1"/>
  <c r="AU27" i="1"/>
  <c r="AO27" i="1"/>
  <c r="AQ27" i="1" s="1"/>
  <c r="AR27" i="1" s="1"/>
  <c r="AE27" i="1"/>
  <c r="AD27" i="1"/>
  <c r="BI27" i="1" s="1"/>
  <c r="AC27" i="1"/>
  <c r="Y27" i="1"/>
  <c r="AI27" i="1" s="1"/>
  <c r="AK27" i="1" s="1"/>
  <c r="AL27" i="1" s="1"/>
  <c r="W27" i="1"/>
  <c r="X27" i="1" s="1"/>
  <c r="U27" i="1"/>
  <c r="N27" i="1"/>
  <c r="P27" i="1" s="1"/>
  <c r="Q27" i="1" s="1"/>
  <c r="G27" i="1"/>
  <c r="H27" i="1" s="1"/>
  <c r="BE27" i="1" s="1"/>
  <c r="E27" i="1"/>
  <c r="BU26" i="1"/>
  <c r="BS26" i="1"/>
  <c r="BQ26" i="1"/>
  <c r="BP26" i="1"/>
  <c r="BT26" i="1" s="1"/>
  <c r="BD26" i="1"/>
  <c r="BA26" i="1"/>
  <c r="AZ26" i="1"/>
  <c r="AU26" i="1"/>
  <c r="AW26" i="1" s="1"/>
  <c r="AX26" i="1" s="1"/>
  <c r="AQ26" i="1"/>
  <c r="AR26" i="1" s="1"/>
  <c r="AO26" i="1"/>
  <c r="AE26" i="1"/>
  <c r="AD26" i="1"/>
  <c r="BI26" i="1" s="1"/>
  <c r="AC26" i="1"/>
  <c r="AI26" i="1" s="1"/>
  <c r="AK26" i="1" s="1"/>
  <c r="AL26" i="1" s="1"/>
  <c r="Y26" i="1"/>
  <c r="U26" i="1"/>
  <c r="W26" i="1" s="1"/>
  <c r="X26" i="1" s="1"/>
  <c r="P26" i="1"/>
  <c r="Q26" i="1" s="1"/>
  <c r="N26" i="1"/>
  <c r="E26" i="1"/>
  <c r="G26" i="1" s="1"/>
  <c r="H26" i="1" s="1"/>
  <c r="BP25" i="1"/>
  <c r="BT25" i="1" s="1"/>
  <c r="BD25" i="1"/>
  <c r="AZ25" i="1"/>
  <c r="BA25" i="1" s="1"/>
  <c r="AW25" i="1"/>
  <c r="AX25" i="1" s="1"/>
  <c r="AU25" i="1"/>
  <c r="AO25" i="1"/>
  <c r="AQ25" i="1" s="1"/>
  <c r="AR25" i="1" s="1"/>
  <c r="AE25" i="1"/>
  <c r="AD25" i="1"/>
  <c r="BI25" i="1" s="1"/>
  <c r="AC25" i="1"/>
  <c r="Y25" i="1"/>
  <c r="AI25" i="1" s="1"/>
  <c r="AK25" i="1" s="1"/>
  <c r="AL25" i="1" s="1"/>
  <c r="W25" i="1"/>
  <c r="X25" i="1" s="1"/>
  <c r="U25" i="1"/>
  <c r="N25" i="1"/>
  <c r="P25" i="1" s="1"/>
  <c r="Q25" i="1" s="1"/>
  <c r="G25" i="1"/>
  <c r="H25" i="1" s="1"/>
  <c r="E25" i="1"/>
  <c r="BU24" i="1"/>
  <c r="BS24" i="1"/>
  <c r="BQ24" i="1"/>
  <c r="BP24" i="1"/>
  <c r="BT24" i="1" s="1"/>
  <c r="BD24" i="1"/>
  <c r="BA24" i="1"/>
  <c r="AZ24" i="1"/>
  <c r="AU24" i="1"/>
  <c r="AW24" i="1" s="1"/>
  <c r="AX24" i="1" s="1"/>
  <c r="AQ24" i="1"/>
  <c r="AR24" i="1" s="1"/>
  <c r="AO24" i="1"/>
  <c r="AE24" i="1"/>
  <c r="AD24" i="1"/>
  <c r="BI24" i="1" s="1"/>
  <c r="AC24" i="1"/>
  <c r="AI24" i="1" s="1"/>
  <c r="AK24" i="1" s="1"/>
  <c r="AL24" i="1" s="1"/>
  <c r="Y24" i="1"/>
  <c r="U24" i="1"/>
  <c r="W24" i="1" s="1"/>
  <c r="X24" i="1" s="1"/>
  <c r="P24" i="1"/>
  <c r="Q24" i="1" s="1"/>
  <c r="N24" i="1"/>
  <c r="E24" i="1"/>
  <c r="G24" i="1" s="1"/>
  <c r="H24" i="1" s="1"/>
  <c r="BE24" i="1" s="1"/>
  <c r="BP23" i="1"/>
  <c r="BT23" i="1" s="1"/>
  <c r="BD23" i="1"/>
  <c r="AZ23" i="1"/>
  <c r="BA23" i="1" s="1"/>
  <c r="AW23" i="1"/>
  <c r="AX23" i="1" s="1"/>
  <c r="AU23" i="1"/>
  <c r="AO23" i="1"/>
  <c r="AQ23" i="1" s="1"/>
  <c r="AR23" i="1" s="1"/>
  <c r="AE23" i="1"/>
  <c r="AD23" i="1"/>
  <c r="BI23" i="1" s="1"/>
  <c r="AC23" i="1"/>
  <c r="Y23" i="1"/>
  <c r="AI23" i="1" s="1"/>
  <c r="AK23" i="1" s="1"/>
  <c r="AL23" i="1" s="1"/>
  <c r="W23" i="1"/>
  <c r="X23" i="1" s="1"/>
  <c r="U23" i="1"/>
  <c r="N23" i="1"/>
  <c r="P23" i="1" s="1"/>
  <c r="Q23" i="1" s="1"/>
  <c r="G23" i="1"/>
  <c r="H23" i="1" s="1"/>
  <c r="BE23" i="1" s="1"/>
  <c r="E23" i="1"/>
  <c r="BU22" i="1"/>
  <c r="BS22" i="1"/>
  <c r="BQ22" i="1"/>
  <c r="BP22" i="1"/>
  <c r="BT22" i="1" s="1"/>
  <c r="BD22" i="1"/>
  <c r="BA22" i="1"/>
  <c r="AZ22" i="1"/>
  <c r="AU22" i="1"/>
  <c r="AW22" i="1" s="1"/>
  <c r="AX22" i="1" s="1"/>
  <c r="AQ22" i="1"/>
  <c r="AR22" i="1" s="1"/>
  <c r="AO22" i="1"/>
  <c r="AE22" i="1"/>
  <c r="AD22" i="1"/>
  <c r="AC22" i="1"/>
  <c r="AF22" i="1" s="1"/>
  <c r="AG22" i="1" s="1"/>
  <c r="AH22" i="1" s="1"/>
  <c r="Y22" i="1"/>
  <c r="X22" i="1"/>
  <c r="U22" i="1"/>
  <c r="W22" i="1" s="1"/>
  <c r="P22" i="1"/>
  <c r="Q22" i="1" s="1"/>
  <c r="N22" i="1"/>
  <c r="H22" i="1"/>
  <c r="E22" i="1"/>
  <c r="G22" i="1" s="1"/>
  <c r="BP21" i="1"/>
  <c r="BR21" i="1" s="1"/>
  <c r="BD21" i="1"/>
  <c r="AZ21" i="1"/>
  <c r="BA21" i="1" s="1"/>
  <c r="AW21" i="1"/>
  <c r="AX21" i="1" s="1"/>
  <c r="AU21" i="1"/>
  <c r="AR21" i="1"/>
  <c r="AO21" i="1"/>
  <c r="AQ21" i="1" s="1"/>
  <c r="AE21" i="1"/>
  <c r="AD21" i="1"/>
  <c r="AF21" i="1" s="1"/>
  <c r="AG21" i="1" s="1"/>
  <c r="AH21" i="1" s="1"/>
  <c r="AC21" i="1"/>
  <c r="Y21" i="1"/>
  <c r="AI21" i="1" s="1"/>
  <c r="AK21" i="1" s="1"/>
  <c r="AL21" i="1" s="1"/>
  <c r="W21" i="1"/>
  <c r="X21" i="1" s="1"/>
  <c r="U21" i="1"/>
  <c r="N21" i="1"/>
  <c r="P21" i="1" s="1"/>
  <c r="Q21" i="1" s="1"/>
  <c r="E21" i="1"/>
  <c r="G21" i="1" s="1"/>
  <c r="H21" i="1" s="1"/>
  <c r="BE21" i="1" s="1"/>
  <c r="BP20" i="1"/>
  <c r="BT20" i="1" s="1"/>
  <c r="BD20" i="1"/>
  <c r="AZ20" i="1"/>
  <c r="BA20" i="1" s="1"/>
  <c r="AW20" i="1"/>
  <c r="AX20" i="1" s="1"/>
  <c r="AU20" i="1"/>
  <c r="AO20" i="1"/>
  <c r="AQ20" i="1" s="1"/>
  <c r="AR20" i="1" s="1"/>
  <c r="AE20" i="1"/>
  <c r="AD20" i="1"/>
  <c r="BI20" i="1" s="1"/>
  <c r="AC20" i="1"/>
  <c r="Y20" i="1"/>
  <c r="AI20" i="1" s="1"/>
  <c r="AK20" i="1" s="1"/>
  <c r="AL20" i="1" s="1"/>
  <c r="W20" i="1"/>
  <c r="X20" i="1" s="1"/>
  <c r="U20" i="1"/>
  <c r="N20" i="1"/>
  <c r="P20" i="1" s="1"/>
  <c r="Q20" i="1" s="1"/>
  <c r="G20" i="1"/>
  <c r="H20" i="1" s="1"/>
  <c r="BE20" i="1" s="1"/>
  <c r="E20" i="1"/>
  <c r="BU19" i="1"/>
  <c r="BS19" i="1"/>
  <c r="BQ19" i="1"/>
  <c r="BP19" i="1"/>
  <c r="BT19" i="1" s="1"/>
  <c r="BD19" i="1"/>
  <c r="BA19" i="1"/>
  <c r="AZ19" i="1"/>
  <c r="AU19" i="1"/>
  <c r="AW19" i="1" s="1"/>
  <c r="AX19" i="1" s="1"/>
  <c r="AQ19" i="1"/>
  <c r="AR19" i="1" s="1"/>
  <c r="AO19" i="1"/>
  <c r="AE19" i="1"/>
  <c r="AD19" i="1"/>
  <c r="BI19" i="1" s="1"/>
  <c r="AC19" i="1"/>
  <c r="AI19" i="1" s="1"/>
  <c r="AK19" i="1" s="1"/>
  <c r="AL19" i="1" s="1"/>
  <c r="Y19" i="1"/>
  <c r="U19" i="1"/>
  <c r="W19" i="1" s="1"/>
  <c r="X19" i="1" s="1"/>
  <c r="P19" i="1"/>
  <c r="Q19" i="1" s="1"/>
  <c r="N19" i="1"/>
  <c r="E19" i="1"/>
  <c r="G19" i="1" s="1"/>
  <c r="H19" i="1" s="1"/>
  <c r="BP18" i="1"/>
  <c r="BT18" i="1" s="1"/>
  <c r="BD18" i="1"/>
  <c r="AZ18" i="1"/>
  <c r="BA18" i="1" s="1"/>
  <c r="AV18" i="1"/>
  <c r="AX18" i="1" s="1"/>
  <c r="AU18" i="1"/>
  <c r="AO18" i="1"/>
  <c r="AP18" i="1" s="1"/>
  <c r="AR18" i="1" s="1"/>
  <c r="AE18" i="1"/>
  <c r="AD18" i="1"/>
  <c r="BI18" i="1" s="1"/>
  <c r="AC18" i="1"/>
  <c r="Y18" i="1"/>
  <c r="AI18" i="1" s="1"/>
  <c r="AJ18" i="1" s="1"/>
  <c r="AL18" i="1" s="1"/>
  <c r="V18" i="1"/>
  <c r="X18" i="1" s="1"/>
  <c r="U18" i="1"/>
  <c r="N18" i="1"/>
  <c r="O18" i="1" s="1"/>
  <c r="Q18" i="1" s="1"/>
  <c r="F18" i="1"/>
  <c r="H18" i="1" s="1"/>
  <c r="E18" i="1"/>
  <c r="BU17" i="1"/>
  <c r="BS17" i="1"/>
  <c r="BQ17" i="1"/>
  <c r="BP17" i="1"/>
  <c r="BT17" i="1" s="1"/>
  <c r="BD17" i="1"/>
  <c r="BA17" i="1"/>
  <c r="AU17" i="1"/>
  <c r="AV17" i="1" s="1"/>
  <c r="AX17" i="1" s="1"/>
  <c r="AP17" i="1"/>
  <c r="AR17" i="1" s="1"/>
  <c r="AO17" i="1"/>
  <c r="AE17" i="1"/>
  <c r="AD17" i="1"/>
  <c r="BI17" i="1" s="1"/>
  <c r="AC17" i="1"/>
  <c r="AI17" i="1" s="1"/>
  <c r="AJ17" i="1" s="1"/>
  <c r="AL17" i="1" s="1"/>
  <c r="Y17" i="1"/>
  <c r="U17" i="1"/>
  <c r="V17" i="1" s="1"/>
  <c r="X17" i="1" s="1"/>
  <c r="O17" i="1"/>
  <c r="Q17" i="1" s="1"/>
  <c r="N17" i="1"/>
  <c r="E17" i="1"/>
  <c r="F17" i="1" s="1"/>
  <c r="H17" i="1" s="1"/>
  <c r="BP16" i="1"/>
  <c r="BT16" i="1" s="1"/>
  <c r="BD16" i="1"/>
  <c r="AZ16" i="1"/>
  <c r="BA16" i="1" s="1"/>
  <c r="AW16" i="1"/>
  <c r="AX16" i="1" s="1"/>
  <c r="AU16" i="1"/>
  <c r="AO16" i="1"/>
  <c r="AQ16" i="1" s="1"/>
  <c r="AR16" i="1" s="1"/>
  <c r="AE16" i="1"/>
  <c r="AD16" i="1"/>
  <c r="BI16" i="1" s="1"/>
  <c r="AC16" i="1"/>
  <c r="Y16" i="1"/>
  <c r="AI16" i="1" s="1"/>
  <c r="AK16" i="1" s="1"/>
  <c r="AL16" i="1" s="1"/>
  <c r="W16" i="1"/>
  <c r="X16" i="1" s="1"/>
  <c r="U16" i="1"/>
  <c r="N16" i="1"/>
  <c r="P16" i="1" s="1"/>
  <c r="Q16" i="1" s="1"/>
  <c r="G16" i="1"/>
  <c r="H16" i="1" s="1"/>
  <c r="BE16" i="1" s="1"/>
  <c r="E16" i="1"/>
  <c r="BU15" i="1"/>
  <c r="BS15" i="1"/>
  <c r="BQ15" i="1"/>
  <c r="BP15" i="1"/>
  <c r="BT15" i="1" s="1"/>
  <c r="BD15" i="1"/>
  <c r="BA15" i="1"/>
  <c r="AZ15" i="1"/>
  <c r="AU15" i="1"/>
  <c r="AV15" i="1" s="1"/>
  <c r="AX15" i="1" s="1"/>
  <c r="AP15" i="1"/>
  <c r="AR15" i="1" s="1"/>
  <c r="AO15" i="1"/>
  <c r="AE15" i="1"/>
  <c r="AD15" i="1"/>
  <c r="BI15" i="1" s="1"/>
  <c r="AC15" i="1"/>
  <c r="AI15" i="1" s="1"/>
  <c r="AJ15" i="1" s="1"/>
  <c r="AL15" i="1" s="1"/>
  <c r="Y15" i="1"/>
  <c r="U15" i="1"/>
  <c r="V15" i="1" s="1"/>
  <c r="X15" i="1" s="1"/>
  <c r="O15" i="1"/>
  <c r="Q15" i="1" s="1"/>
  <c r="N15" i="1"/>
  <c r="E15" i="1"/>
  <c r="F15" i="1" s="1"/>
  <c r="H15" i="1" s="1"/>
  <c r="BP14" i="1"/>
  <c r="BT14" i="1" s="1"/>
  <c r="BD14" i="1"/>
  <c r="AZ14" i="1"/>
  <c r="BA14" i="1" s="1"/>
  <c r="AV14" i="1"/>
  <c r="AX14" i="1" s="1"/>
  <c r="AU14" i="1"/>
  <c r="AO14" i="1"/>
  <c r="AP14" i="1" s="1"/>
  <c r="AR14" i="1" s="1"/>
  <c r="AE14" i="1"/>
  <c r="AD14" i="1"/>
  <c r="BI14" i="1" s="1"/>
  <c r="AC14" i="1"/>
  <c r="Y14" i="1"/>
  <c r="AI14" i="1" s="1"/>
  <c r="AJ14" i="1" s="1"/>
  <c r="AL14" i="1" s="1"/>
  <c r="V14" i="1"/>
  <c r="X14" i="1" s="1"/>
  <c r="U14" i="1"/>
  <c r="N14" i="1"/>
  <c r="O14" i="1" s="1"/>
  <c r="Q14" i="1" s="1"/>
  <c r="F14" i="1"/>
  <c r="H14" i="1" s="1"/>
  <c r="E14" i="1"/>
  <c r="BU13" i="1"/>
  <c r="BS13" i="1"/>
  <c r="BQ13" i="1"/>
  <c r="BP13" i="1"/>
  <c r="BT13" i="1" s="1"/>
  <c r="BD13" i="1"/>
  <c r="BA13" i="1"/>
  <c r="AZ13" i="1"/>
  <c r="AU13" i="1"/>
  <c r="AV13" i="1" s="1"/>
  <c r="AX13" i="1" s="1"/>
  <c r="AP13" i="1"/>
  <c r="AR13" i="1" s="1"/>
  <c r="AO13" i="1"/>
  <c r="AE13" i="1"/>
  <c r="AD13" i="1"/>
  <c r="BI13" i="1" s="1"/>
  <c r="AC13" i="1"/>
  <c r="AI13" i="1" s="1"/>
  <c r="AJ13" i="1" s="1"/>
  <c r="AL13" i="1" s="1"/>
  <c r="Y13" i="1"/>
  <c r="U13" i="1"/>
  <c r="V13" i="1" s="1"/>
  <c r="X13" i="1" s="1"/>
  <c r="O13" i="1"/>
  <c r="Q13" i="1" s="1"/>
  <c r="N13" i="1"/>
  <c r="E13" i="1"/>
  <c r="F13" i="1" s="1"/>
  <c r="H13" i="1" s="1"/>
  <c r="BE13" i="1" s="1"/>
  <c r="BP12" i="1"/>
  <c r="BT12" i="1" s="1"/>
  <c r="BD12" i="1"/>
  <c r="AZ12" i="1"/>
  <c r="BA12" i="1" s="1"/>
  <c r="AV12" i="1"/>
  <c r="AX12" i="1" s="1"/>
  <c r="AU12" i="1"/>
  <c r="AO12" i="1"/>
  <c r="AP12" i="1" s="1"/>
  <c r="AR12" i="1" s="1"/>
  <c r="AE12" i="1"/>
  <c r="AD12" i="1"/>
  <c r="BI12" i="1" s="1"/>
  <c r="AC12" i="1"/>
  <c r="Y12" i="1"/>
  <c r="AI12" i="1" s="1"/>
  <c r="AJ12" i="1" s="1"/>
  <c r="AL12" i="1" s="1"/>
  <c r="V12" i="1"/>
  <c r="X12" i="1" s="1"/>
  <c r="U12" i="1"/>
  <c r="N12" i="1"/>
  <c r="O12" i="1" s="1"/>
  <c r="Q12" i="1" s="1"/>
  <c r="F12" i="1"/>
  <c r="H12" i="1" s="1"/>
  <c r="BE12" i="1" s="1"/>
  <c r="E12" i="1"/>
  <c r="BU11" i="1"/>
  <c r="BS11" i="1"/>
  <c r="BQ11" i="1"/>
  <c r="BP11" i="1"/>
  <c r="BT11" i="1" s="1"/>
  <c r="BD11" i="1"/>
  <c r="BA11" i="1"/>
  <c r="AZ11" i="1"/>
  <c r="AU11" i="1"/>
  <c r="AV11" i="1" s="1"/>
  <c r="AX11" i="1" s="1"/>
  <c r="AP11" i="1"/>
  <c r="AR11" i="1" s="1"/>
  <c r="AO11" i="1"/>
  <c r="AE11" i="1"/>
  <c r="AD11" i="1"/>
  <c r="BI11" i="1" s="1"/>
  <c r="AC11" i="1"/>
  <c r="AI11" i="1" s="1"/>
  <c r="AJ11" i="1" s="1"/>
  <c r="AL11" i="1" s="1"/>
  <c r="Y11" i="1"/>
  <c r="U11" i="1"/>
  <c r="V11" i="1" s="1"/>
  <c r="X11" i="1" s="1"/>
  <c r="O11" i="1"/>
  <c r="Q11" i="1" s="1"/>
  <c r="N11" i="1"/>
  <c r="E11" i="1"/>
  <c r="F11" i="1" s="1"/>
  <c r="H11" i="1" s="1"/>
  <c r="BP10" i="1"/>
  <c r="BT10" i="1" s="1"/>
  <c r="BD10" i="1"/>
  <c r="BA10" i="1"/>
  <c r="AV10" i="1"/>
  <c r="AX10" i="1" s="1"/>
  <c r="AU10" i="1"/>
  <c r="AO10" i="1"/>
  <c r="AP10" i="1" s="1"/>
  <c r="AR10" i="1" s="1"/>
  <c r="AE10" i="1"/>
  <c r="AD10" i="1"/>
  <c r="AD42" i="1" s="1"/>
  <c r="AC10" i="1"/>
  <c r="Y10" i="1"/>
  <c r="Y42" i="1" s="1"/>
  <c r="V10" i="1"/>
  <c r="X10" i="1" s="1"/>
  <c r="U10" i="1"/>
  <c r="N10" i="1"/>
  <c r="O10" i="1" s="1"/>
  <c r="Q10" i="1" s="1"/>
  <c r="F10" i="1"/>
  <c r="H10" i="1" s="1"/>
  <c r="E10" i="1"/>
  <c r="BT43" i="1" l="1"/>
  <c r="BM12" i="1"/>
  <c r="BK12" i="1"/>
  <c r="BN12" i="1"/>
  <c r="BL12" i="1"/>
  <c r="BJ12" i="1"/>
  <c r="BN13" i="1"/>
  <c r="BL13" i="1"/>
  <c r="BJ13" i="1"/>
  <c r="BM13" i="1"/>
  <c r="BK13" i="1"/>
  <c r="BM16" i="1"/>
  <c r="BK16" i="1"/>
  <c r="BN16" i="1"/>
  <c r="BL16" i="1"/>
  <c r="BJ16" i="1"/>
  <c r="BN17" i="1"/>
  <c r="BL17" i="1"/>
  <c r="BJ17" i="1"/>
  <c r="BM17" i="1"/>
  <c r="BK17" i="1"/>
  <c r="BM20" i="1"/>
  <c r="BK20" i="1"/>
  <c r="BN20" i="1"/>
  <c r="BL20" i="1"/>
  <c r="BJ20" i="1"/>
  <c r="BE22" i="1"/>
  <c r="BE11" i="1"/>
  <c r="BN11" i="1"/>
  <c r="BL11" i="1"/>
  <c r="BJ11" i="1"/>
  <c r="BM11" i="1"/>
  <c r="BK11" i="1"/>
  <c r="BE14" i="1"/>
  <c r="BM14" i="1"/>
  <c r="BK14" i="1"/>
  <c r="BN14" i="1"/>
  <c r="BL14" i="1"/>
  <c r="BJ14" i="1"/>
  <c r="BE15" i="1"/>
  <c r="BN15" i="1"/>
  <c r="BL15" i="1"/>
  <c r="BJ15" i="1"/>
  <c r="BM15" i="1"/>
  <c r="BK15" i="1"/>
  <c r="BE18" i="1"/>
  <c r="BM18" i="1"/>
  <c r="BK18" i="1"/>
  <c r="BN18" i="1"/>
  <c r="BL18" i="1"/>
  <c r="BJ18" i="1"/>
  <c r="BE19" i="1"/>
  <c r="BN19" i="1"/>
  <c r="BL19" i="1"/>
  <c r="BJ19" i="1"/>
  <c r="BM19" i="1"/>
  <c r="BK19" i="1"/>
  <c r="AC42" i="1"/>
  <c r="AE42" i="1"/>
  <c r="AI10" i="1"/>
  <c r="AJ10" i="1" s="1"/>
  <c r="AL10" i="1" s="1"/>
  <c r="BE10" i="1" s="1"/>
  <c r="BQ10" i="1"/>
  <c r="BS10" i="1"/>
  <c r="BU10" i="1"/>
  <c r="AF11" i="1"/>
  <c r="AG11" i="1" s="1"/>
  <c r="AH11" i="1" s="1"/>
  <c r="BR11" i="1"/>
  <c r="BQ12" i="1"/>
  <c r="BS12" i="1"/>
  <c r="BU12" i="1"/>
  <c r="AF13" i="1"/>
  <c r="AG13" i="1" s="1"/>
  <c r="AH13" i="1" s="1"/>
  <c r="BR13" i="1"/>
  <c r="BQ14" i="1"/>
  <c r="BS14" i="1"/>
  <c r="BU14" i="1"/>
  <c r="AF15" i="1"/>
  <c r="AG15" i="1" s="1"/>
  <c r="AH15" i="1" s="1"/>
  <c r="BR15" i="1"/>
  <c r="BQ16" i="1"/>
  <c r="BS16" i="1"/>
  <c r="BU16" i="1"/>
  <c r="AF17" i="1"/>
  <c r="AG17" i="1" s="1"/>
  <c r="AH17" i="1" s="1"/>
  <c r="BR17" i="1"/>
  <c r="BQ18" i="1"/>
  <c r="BS18" i="1"/>
  <c r="BU18" i="1"/>
  <c r="AF19" i="1"/>
  <c r="AG19" i="1" s="1"/>
  <c r="AH19" i="1" s="1"/>
  <c r="BR19" i="1"/>
  <c r="BQ20" i="1"/>
  <c r="BS20" i="1"/>
  <c r="BU20" i="1"/>
  <c r="BI21" i="1"/>
  <c r="BI22" i="1"/>
  <c r="BE25" i="1"/>
  <c r="BM25" i="1"/>
  <c r="BK25" i="1"/>
  <c r="BN25" i="1"/>
  <c r="BL25" i="1"/>
  <c r="BJ25" i="1"/>
  <c r="BE26" i="1"/>
  <c r="BN26" i="1"/>
  <c r="BL26" i="1"/>
  <c r="BJ26" i="1"/>
  <c r="BM26" i="1"/>
  <c r="BK26" i="1"/>
  <c r="BE29" i="1"/>
  <c r="BM29" i="1"/>
  <c r="BK29" i="1"/>
  <c r="BN29" i="1"/>
  <c r="BL29" i="1"/>
  <c r="BJ29" i="1"/>
  <c r="BE30" i="1"/>
  <c r="BN30" i="1"/>
  <c r="BL30" i="1"/>
  <c r="BJ30" i="1"/>
  <c r="BM30" i="1"/>
  <c r="BK30" i="1"/>
  <c r="AF10" i="1"/>
  <c r="AG10" i="1" s="1"/>
  <c r="AH10" i="1" s="1"/>
  <c r="BI10" i="1"/>
  <c r="BR10" i="1"/>
  <c r="AF12" i="1"/>
  <c r="AG12" i="1" s="1"/>
  <c r="AH12" i="1" s="1"/>
  <c r="BR12" i="1"/>
  <c r="AF14" i="1"/>
  <c r="AG14" i="1" s="1"/>
  <c r="AH14" i="1" s="1"/>
  <c r="BR14" i="1"/>
  <c r="AF16" i="1"/>
  <c r="AG16" i="1" s="1"/>
  <c r="AH16" i="1" s="1"/>
  <c r="BR16" i="1"/>
  <c r="AF18" i="1"/>
  <c r="AG18" i="1" s="1"/>
  <c r="AH18" i="1" s="1"/>
  <c r="BR18" i="1"/>
  <c r="AF20" i="1"/>
  <c r="AG20" i="1" s="1"/>
  <c r="AH20" i="1" s="1"/>
  <c r="BR20" i="1"/>
  <c r="BU21" i="1"/>
  <c r="BS21" i="1"/>
  <c r="BQ21" i="1"/>
  <c r="BT21" i="1"/>
  <c r="BT42" i="1" s="1"/>
  <c r="BT44" i="1" s="1"/>
  <c r="AI22" i="1"/>
  <c r="AK22" i="1" s="1"/>
  <c r="AL22" i="1" s="1"/>
  <c r="BM23" i="1"/>
  <c r="BK23" i="1"/>
  <c r="BN23" i="1"/>
  <c r="BL23" i="1"/>
  <c r="BJ23" i="1"/>
  <c r="BN24" i="1"/>
  <c r="BL24" i="1"/>
  <c r="BJ24" i="1"/>
  <c r="BM24" i="1"/>
  <c r="BK24" i="1"/>
  <c r="BM27" i="1"/>
  <c r="BK27" i="1"/>
  <c r="BN27" i="1"/>
  <c r="BL27" i="1"/>
  <c r="BJ27" i="1"/>
  <c r="BN28" i="1"/>
  <c r="BL28" i="1"/>
  <c r="BJ28" i="1"/>
  <c r="BM28" i="1"/>
  <c r="BK28" i="1"/>
  <c r="BN31" i="1"/>
  <c r="BL31" i="1"/>
  <c r="BJ31" i="1"/>
  <c r="BM31" i="1"/>
  <c r="BK31" i="1"/>
  <c r="BR22" i="1"/>
  <c r="BQ23" i="1"/>
  <c r="BS23" i="1"/>
  <c r="BU23" i="1"/>
  <c r="AF24" i="1"/>
  <c r="AG24" i="1" s="1"/>
  <c r="AH24" i="1" s="1"/>
  <c r="BR24" i="1"/>
  <c r="BQ25" i="1"/>
  <c r="BS25" i="1"/>
  <c r="BU25" i="1"/>
  <c r="AF26" i="1"/>
  <c r="AG26" i="1" s="1"/>
  <c r="AH26" i="1" s="1"/>
  <c r="BR26" i="1"/>
  <c r="BQ27" i="1"/>
  <c r="BS27" i="1"/>
  <c r="BU27" i="1"/>
  <c r="AF28" i="1"/>
  <c r="AG28" i="1" s="1"/>
  <c r="AH28" i="1" s="1"/>
  <c r="BR28" i="1"/>
  <c r="BQ29" i="1"/>
  <c r="BS29" i="1"/>
  <c r="BU29" i="1"/>
  <c r="AF30" i="1"/>
  <c r="AG30" i="1" s="1"/>
  <c r="AH30" i="1" s="1"/>
  <c r="BR30" i="1"/>
  <c r="BU31" i="1"/>
  <c r="BS31" i="1"/>
  <c r="BQ31" i="1"/>
  <c r="BT31" i="1"/>
  <c r="AI32" i="1"/>
  <c r="AK32" i="1" s="1"/>
  <c r="AL32" i="1" s="1"/>
  <c r="BE32" i="1" s="1"/>
  <c r="BJ32" i="1"/>
  <c r="BE33" i="1"/>
  <c r="BI33" i="1"/>
  <c r="BI34" i="1"/>
  <c r="AF23" i="1"/>
  <c r="AG23" i="1" s="1"/>
  <c r="AH23" i="1" s="1"/>
  <c r="BR23" i="1"/>
  <c r="AF25" i="1"/>
  <c r="AG25" i="1" s="1"/>
  <c r="AH25" i="1" s="1"/>
  <c r="BR25" i="1"/>
  <c r="AF27" i="1"/>
  <c r="AG27" i="1" s="1"/>
  <c r="AH27" i="1" s="1"/>
  <c r="BR27" i="1"/>
  <c r="AF29" i="1"/>
  <c r="AG29" i="1" s="1"/>
  <c r="AH29" i="1" s="1"/>
  <c r="BR29" i="1"/>
  <c r="AF31" i="1"/>
  <c r="AG31" i="1" s="1"/>
  <c r="AH31" i="1" s="1"/>
  <c r="BM32" i="1"/>
  <c r="BK32" i="1"/>
  <c r="BL32" i="1"/>
  <c r="BU33" i="1"/>
  <c r="BS33" i="1"/>
  <c r="BQ33" i="1"/>
  <c r="BT33" i="1"/>
  <c r="AF34" i="1"/>
  <c r="AG34" i="1" s="1"/>
  <c r="AH34" i="1" s="1"/>
  <c r="AI34" i="1"/>
  <c r="AK34" i="1" s="1"/>
  <c r="AL34" i="1" s="1"/>
  <c r="BE34" i="1" s="1"/>
  <c r="BN35" i="1"/>
  <c r="BL35" i="1"/>
  <c r="BJ35" i="1"/>
  <c r="BM35" i="1"/>
  <c r="BK35" i="1"/>
  <c r="BE36" i="1"/>
  <c r="BM36" i="1"/>
  <c r="BK36" i="1"/>
  <c r="BN36" i="1"/>
  <c r="BL36" i="1"/>
  <c r="BJ36" i="1"/>
  <c r="AF35" i="1"/>
  <c r="AG35" i="1" s="1"/>
  <c r="AH35" i="1" s="1"/>
  <c r="BR35" i="1"/>
  <c r="BT35" i="1"/>
  <c r="AI36" i="1"/>
  <c r="AK36" i="1" s="1"/>
  <c r="AL36" i="1" s="1"/>
  <c r="AI37" i="1"/>
  <c r="AJ37" i="1" s="1"/>
  <c r="AL37" i="1" s="1"/>
  <c r="BE37" i="1" s="1"/>
  <c r="BM40" i="1"/>
  <c r="BK40" i="1"/>
  <c r="BN40" i="1"/>
  <c r="BL40" i="1"/>
  <c r="BJ40" i="1"/>
  <c r="BN41" i="1"/>
  <c r="BL41" i="1"/>
  <c r="BJ41" i="1"/>
  <c r="BM41" i="1"/>
  <c r="BK41" i="1"/>
  <c r="BR32" i="1"/>
  <c r="BR34" i="1"/>
  <c r="BQ35" i="1"/>
  <c r="BS35" i="1"/>
  <c r="BR36" i="1"/>
  <c r="BI37" i="1"/>
  <c r="BI38" i="1"/>
  <c r="AF38" i="1"/>
  <c r="AG38" i="1" s="1"/>
  <c r="AH38" i="1" s="1"/>
  <c r="BE39" i="1"/>
  <c r="BN39" i="1"/>
  <c r="BL39" i="1"/>
  <c r="BJ39" i="1"/>
  <c r="BM39" i="1"/>
  <c r="BK39" i="1"/>
  <c r="BR37" i="1"/>
  <c r="BQ38" i="1"/>
  <c r="BS38" i="1"/>
  <c r="BU38" i="1"/>
  <c r="AF39" i="1"/>
  <c r="AG39" i="1" s="1"/>
  <c r="AH39" i="1" s="1"/>
  <c r="BR39" i="1"/>
  <c r="BQ40" i="1"/>
  <c r="BS40" i="1"/>
  <c r="BU40" i="1"/>
  <c r="AF41" i="1"/>
  <c r="AG41" i="1" s="1"/>
  <c r="AH41" i="1" s="1"/>
  <c r="BR41" i="1"/>
  <c r="BT41" i="1"/>
  <c r="BR38" i="1"/>
  <c r="AF40" i="1"/>
  <c r="AG40" i="1" s="1"/>
  <c r="AH40" i="1" s="1"/>
  <c r="BR40" i="1"/>
  <c r="BQ41" i="1"/>
  <c r="BS41" i="1"/>
  <c r="BM37" i="1" l="1"/>
  <c r="BK37" i="1"/>
  <c r="BL37" i="1"/>
  <c r="BN37" i="1"/>
  <c r="BJ37" i="1"/>
  <c r="BM34" i="1"/>
  <c r="BK34" i="1"/>
  <c r="BN34" i="1"/>
  <c r="BL34" i="1"/>
  <c r="BJ34" i="1"/>
  <c r="BR43" i="1"/>
  <c r="BR42" i="1"/>
  <c r="BR44" i="1" s="1"/>
  <c r="BM22" i="1"/>
  <c r="BK22" i="1"/>
  <c r="BN22" i="1"/>
  <c r="BJ22" i="1"/>
  <c r="BL22" i="1"/>
  <c r="BS43" i="1"/>
  <c r="BS42" i="1"/>
  <c r="BM38" i="1"/>
  <c r="BK38" i="1"/>
  <c r="BN38" i="1"/>
  <c r="BL38" i="1"/>
  <c r="BJ38" i="1"/>
  <c r="BN33" i="1"/>
  <c r="BL33" i="1"/>
  <c r="BJ33" i="1"/>
  <c r="BK33" i="1"/>
  <c r="BM33" i="1"/>
  <c r="BM10" i="1"/>
  <c r="BK10" i="1"/>
  <c r="BN10" i="1"/>
  <c r="BL10" i="1"/>
  <c r="BJ10" i="1"/>
  <c r="BN21" i="1"/>
  <c r="BL21" i="1"/>
  <c r="BJ21" i="1"/>
  <c r="BK21" i="1"/>
  <c r="BM21" i="1"/>
  <c r="BU43" i="1"/>
  <c r="BU42" i="1"/>
  <c r="BQ43" i="1"/>
  <c r="BQ42" i="1"/>
  <c r="BJ43" i="1" l="1"/>
  <c r="BJ42" i="1"/>
  <c r="BJ44" i="1" s="1"/>
  <c r="BN43" i="1"/>
  <c r="BN42" i="1"/>
  <c r="BN44" i="1" s="1"/>
  <c r="BM43" i="1"/>
  <c r="BM42" i="1"/>
  <c r="BM44" i="1" s="1"/>
  <c r="BQ44" i="1"/>
  <c r="BU44" i="1"/>
  <c r="BL43" i="1"/>
  <c r="BL42" i="1"/>
  <c r="BL44" i="1" s="1"/>
  <c r="BK43" i="1"/>
  <c r="BK42" i="1"/>
  <c r="BK44" i="1" s="1"/>
  <c r="BS44" i="1"/>
</calcChain>
</file>

<file path=xl/sharedStrings.xml><?xml version="1.0" encoding="utf-8"?>
<sst xmlns="http://schemas.openxmlformats.org/spreadsheetml/2006/main" count="165" uniqueCount="116">
  <si>
    <t>Перечень индикаторов на соответствие плановых показателей местных бюджетов требованиям Бюджетного кодекса Российской Федерации по состоянию на 01.04.2020</t>
  </si>
  <si>
    <t>тыс.руб.</t>
  </si>
  <si>
    <t>P1</t>
  </si>
  <si>
    <t>P2</t>
  </si>
  <si>
    <t>P3</t>
  </si>
  <si>
    <t>P4</t>
  </si>
  <si>
    <t>P5.1</t>
  </si>
  <si>
    <t>P5.2</t>
  </si>
  <si>
    <t>P6</t>
  </si>
  <si>
    <t>P7</t>
  </si>
  <si>
    <r>
      <t xml:space="preserve">Объем заимствований муниципального образования в </t>
    </r>
    <r>
      <rPr>
        <b/>
        <sz val="10"/>
        <color indexed="10"/>
        <rFont val="Times New Roman"/>
        <family val="1"/>
        <charset val="204"/>
      </rPr>
      <t xml:space="preserve">текущем </t>
    </r>
    <r>
      <rPr>
        <sz val="10"/>
        <rFont val="Times New Roman"/>
        <family val="1"/>
        <charset val="204"/>
      </rPr>
      <t>финансовом году</t>
    </r>
  </si>
  <si>
    <t>Сумма, направленная в текущем финансовом году на финансирование дефицита местного бюджета</t>
  </si>
  <si>
    <t>Сумма, направленная в текущем финансовом году на погашение долговых обязательств бюджета муниципального образования</t>
  </si>
  <si>
    <t>Отношение объема заимствований муниципального образования в текущем финансовом году к сумме, направляемой в текущем финансовом году на финансирование дефицита местного бюджета и (или) погашение долговых обязательств муниципального образования (ст. 106 БК РФ)</t>
  </si>
  <si>
    <t>Нормативное значение</t>
  </si>
  <si>
    <t>Нормативное значение для муниципального образования, в отношении которого осуществляются меры, предусмотренные п.4 ст.136 БК РФ</t>
  </si>
  <si>
    <t>Количество баллов</t>
  </si>
  <si>
    <t>Объем муниципального долга</t>
  </si>
  <si>
    <t>Общий годовой объем доходов местного бюджета</t>
  </si>
  <si>
    <r>
      <t>Объем безвозмездных поступлений (</t>
    </r>
    <r>
      <rPr>
        <sz val="10"/>
        <color indexed="30"/>
        <rFont val="Times New Roman"/>
        <family val="1"/>
        <charset val="204"/>
      </rPr>
      <t>КБК 0002000000...</t>
    </r>
    <r>
      <rPr>
        <sz val="10"/>
        <rFont val="Times New Roman"/>
        <family val="1"/>
        <charset val="204"/>
      </rPr>
      <t>)</t>
    </r>
  </si>
  <si>
    <t>Объем поступлений по дополнительным нормативам</t>
  </si>
  <si>
    <t>Задолженность по бюджетным кредитам</t>
  </si>
  <si>
    <t>Отношение объема муниципального долга к общему годовому объему доходов местного бюджета без учета объема безвозмездных поступлений и поступлений налоговых доходов по дополнительным нормативам (ст. 107 БК РФ)</t>
  </si>
  <si>
    <t>Объем расходов местного бюджета на обслуживание муниципального долга</t>
  </si>
  <si>
    <t>Объем расходов местного бюджета</t>
  </si>
  <si>
    <t>Объем расходов, которые осуществляются за счет субвенций, предоставляемых из областного бюджета</t>
  </si>
  <si>
    <t>Отношение объема расходов на обслуживание муниципального долга к объему расходов местного бюджета, за исключением объема расходов, которые осуществляются за счет субвенций, предоставляемых из областного бюджета (ст. 111 БК РФ)</t>
  </si>
  <si>
    <t>Размер дефицита местного бюджета</t>
  </si>
  <si>
    <t xml:space="preserve">Объем поступлений от продажи акций и иных форм участия в капитале, находящихся в собственности муниципального
образования
</t>
  </si>
  <si>
    <t>Величина снижения остатков средств на счетах по учету средств местного бюджета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</si>
  <si>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</t>
  </si>
  <si>
    <t>Объем доходов местного бюджета</t>
  </si>
  <si>
    <t>Объем безвозмездных поступлений</t>
  </si>
  <si>
    <t>объем налоговых поступлений по дополнительным нормативам</t>
  </si>
  <si>
    <t>Доходы без безвозмездных и доп нормативов</t>
  </si>
  <si>
    <t>5% или 10% от собственных доходов</t>
  </si>
  <si>
    <t>5% или 10% от собственных доходов + остатки (отрицательную разницу по бюджетным кредитам не берем, т.к. она не увеличивает, а снижает сумму допустимого дефицита)</t>
  </si>
  <si>
    <t>Отношение дефицита местного бюджета (с учетом допустимых превышений) к общему годовому объему доходов местного бюджета без учета объема безвозмездных поступлений и (или) поступлений налоговых доходов по дополнительным нормативам (ст. 92.1 БК РФ)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</si>
  <si>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утвержденный в местном бюджете на текущий финансовый год</t>
  </si>
  <si>
    <t>Объем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исчисленный по утвержденному нормативу формирования данных расходов.</t>
  </si>
  <si>
    <t>Отношение утвержденного в местном бюджете годового объема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к расходам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служащих, исчисленным к установленному нормативу формирования данных расходов (ст. 136 БК РФ)</t>
  </si>
  <si>
    <t>Объем расходов на содержание органов местного самоуправления, утвержденный в местном бюджете на текущий финансовый год</t>
  </si>
  <si>
    <t xml:space="preserve">Объем расходов на содержание органов местного самоуправления по утвержденному нормативу </t>
  </si>
  <si>
    <t>Отношение утвержденного в местном бюджете годового объема расходов на содержание органов местного самоуправления, к расходам на содержание органов местного самоуправления по утвержденному нормативу (ст. 136 БК РФ)</t>
  </si>
  <si>
    <t>Выполнение условий подписанных муниципальными образованиями с департаментом финансов Брянской области соглашений  о мерах по социально-экономическому развитию и оздоровлению муниципальных финансов</t>
  </si>
  <si>
    <t>Выполнение условий подписанных муниципальными образованиями с  департаментом финансов Брянской области соглашений  о предоставлении бюджетных кредитов</t>
  </si>
  <si>
    <t>Итоговое значение</t>
  </si>
  <si>
    <t>Дотации</t>
  </si>
  <si>
    <t>Аi</t>
  </si>
  <si>
    <t>Бi</t>
  </si>
  <si>
    <t>Вi</t>
  </si>
  <si>
    <t>Р1 = Аi / (Бi + Вi),                                    если Бi &lt; 0, то Р1 = Аi / Вi</t>
  </si>
  <si>
    <t>≤1,0</t>
  </si>
  <si>
    <t>Гi</t>
  </si>
  <si>
    <t>Р2 = Аi / (Бi - Вi - Гi)</t>
  </si>
  <si>
    <t>≤0,5</t>
  </si>
  <si>
    <t>Р3 = Аi / (Бi - Вi)</t>
  </si>
  <si>
    <t>≤0,15</t>
  </si>
  <si>
    <t>Кi</t>
  </si>
  <si>
    <t>Дi</t>
  </si>
  <si>
    <t>Иi</t>
  </si>
  <si>
    <t>Р4 =  (Ai - Бi – Bi – Кi)/
(Гi -Дi - Иi), при Бi &gt; 0 и Bi &gt; 0, и Кi  &gt; 0
иначе Р4 = Ai/(Гi - Дi - Иi)</t>
  </si>
  <si>
    <t>≤0,10</t>
  </si>
  <si>
    <t>≤0,05</t>
  </si>
  <si>
    <t>Р5 = Ai/Бi</t>
  </si>
  <si>
    <t>план</t>
  </si>
  <si>
    <t>Доля</t>
  </si>
  <si>
    <t>если -, то 0</t>
  </si>
  <si>
    <t>до 10%</t>
  </si>
  <si>
    <t>от 10 до 30</t>
  </si>
  <si>
    <t>от 30 до 70</t>
  </si>
  <si>
    <t xml:space="preserve">от 70 до 90 </t>
  </si>
  <si>
    <t>свыше 90</t>
  </si>
  <si>
    <t>дотаций</t>
  </si>
  <si>
    <t>до 4,9%</t>
  </si>
  <si>
    <t>от 5 до 19,9</t>
  </si>
  <si>
    <t>от 20 до 49,9</t>
  </si>
  <si>
    <t xml:space="preserve">от 50 до 89,9 </t>
  </si>
  <si>
    <t xml:space="preserve">1. г.Брянск </t>
  </si>
  <si>
    <t>3. г.Клинцы</t>
  </si>
  <si>
    <t>4. г.Новозыбков</t>
  </si>
  <si>
    <t>5. г.Сельцо</t>
  </si>
  <si>
    <t>34. г.Фокино</t>
  </si>
  <si>
    <t>36. г.Стародуб</t>
  </si>
  <si>
    <t>6. Брасовский р-н</t>
  </si>
  <si>
    <t>7. Брянский р-н</t>
  </si>
  <si>
    <t>8. Выгоничский р-н</t>
  </si>
  <si>
    <t>9. Гордеевский р-н</t>
  </si>
  <si>
    <t>10. Дубровский р-н</t>
  </si>
  <si>
    <t>2. Дятьковский р-н</t>
  </si>
  <si>
    <t>11. Жирятинский р-н</t>
  </si>
  <si>
    <t>12. Жуковский р-н</t>
  </si>
  <si>
    <t>13. Злынковский р-н</t>
  </si>
  <si>
    <t>14. Карачевский р-н</t>
  </si>
  <si>
    <t>15. Клетнянский р-н</t>
  </si>
  <si>
    <t>16. Климовский р-н</t>
  </si>
  <si>
    <t>17. Клинцовский р-н</t>
  </si>
  <si>
    <t>18. Комаричский р-н</t>
  </si>
  <si>
    <t>19. Красногорский р-н</t>
  </si>
  <si>
    <t>20. Мглинский р-н</t>
  </si>
  <si>
    <t>21. Навлинский р-н</t>
  </si>
  <si>
    <t>23. Погарский р-н</t>
  </si>
  <si>
    <t>24. Почепский р-н</t>
  </si>
  <si>
    <t>25. Рогнединский р-н</t>
  </si>
  <si>
    <t>26. Севский р-н</t>
  </si>
  <si>
    <t>27. Стародубский р-н</t>
  </si>
  <si>
    <t>28. Суземский р-н</t>
  </si>
  <si>
    <t>29. Суражский р-н</t>
  </si>
  <si>
    <t>30. Трубчевский р-н</t>
  </si>
  <si>
    <t>31. Унечский р-н</t>
  </si>
  <si>
    <t>ИТОГО</t>
  </si>
  <si>
    <t>ГО</t>
  </si>
  <si>
    <t>получение кредитов (бюдж+банковские)</t>
  </si>
  <si>
    <t>итого источников</t>
  </si>
  <si>
    <t>погашение кредитов (бюдж+банковские)</t>
  </si>
  <si>
    <t>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</si>
</sst>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_р_._-;\-* #,##0.00_р_._-;_-* &quot;-&quot;??_р_._-;_-@_-"/>
    <numFmt numFmtId="165" formatCode="#,##0.00_ ;[Red]\-#,##0.00\ "/>
    <numFmt numFmtId="166" formatCode="0.0"/>
    <numFmt numFmtId="167" formatCode="#,##0.0_ ;[Red]\-#,##0.0\ "/>
    <numFmt numFmtId="168" formatCode="_-* #,##0_р_._-;\-* #,##0_р_._-;_-* &quot;-&quot;??_р_._-;_-@_-"/>
    <numFmt numFmtId="169" formatCode="_-* #,##0.0_р_._-;\-* #,##0.0_р_._-;_-* &quot;-&quot;??_р_._-;_-@_-"/>
    <numFmt numFmtId="170" formatCode="#,##0.0"/>
    <numFmt numFmtId="171" formatCode="#,##0_ ;[Red]\-#,##0\ "/>
    <numFmt numFmtId="172" formatCode="0.000"/>
    <numFmt numFmtId="173" formatCode="0.0000"/>
    <numFmt numFmtId="174" formatCode="0.0_ ;[Red]\-0.0\ "/>
    <numFmt numFmtId="175" formatCode="0.0%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8"/>
      <name val="Arial Cyr"/>
      <charset val="204"/>
    </font>
    <font>
      <b/>
      <sz val="7"/>
      <name val="Times New Roman"/>
      <family val="1"/>
      <charset val="204"/>
    </font>
    <font>
      <b/>
      <sz val="10"/>
      <name val="Arial Cyr"/>
      <charset val="204"/>
    </font>
    <font>
      <sz val="10"/>
      <name val="Helv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163">
    <xf numFmtId="0" fontId="0" fillId="0" borderId="0" xfId="0"/>
    <xf numFmtId="0" fontId="2" fillId="0" borderId="0" xfId="0" applyFont="1"/>
    <xf numFmtId="164" fontId="3" fillId="0" borderId="0" xfId="1" applyFont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164" fontId="3" fillId="0" borderId="1" xfId="1" applyFont="1" applyBorder="1" applyAlignment="1">
      <alignment horizontal="center" wrapText="1"/>
    </xf>
    <xf numFmtId="0" fontId="0" fillId="0" borderId="0" xfId="0" applyFill="1"/>
    <xf numFmtId="165" fontId="0" fillId="0" borderId="0" xfId="0" applyNumberFormat="1"/>
    <xf numFmtId="0" fontId="4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0" fillId="6" borderId="10" xfId="0" applyFill="1" applyBorder="1"/>
    <xf numFmtId="0" fontId="0" fillId="6" borderId="0" xfId="0" applyFill="1" applyBorder="1"/>
    <xf numFmtId="0" fontId="4" fillId="0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6" fillId="7" borderId="14" xfId="0" applyFont="1" applyFill="1" applyBorder="1" applyAlignment="1"/>
    <xf numFmtId="0" fontId="6" fillId="7" borderId="15" xfId="0" applyFont="1" applyFill="1" applyBorder="1" applyAlignment="1"/>
    <xf numFmtId="0" fontId="6" fillId="7" borderId="16" xfId="0" applyFont="1" applyFill="1" applyBorder="1" applyAlignment="1"/>
    <xf numFmtId="0" fontId="2" fillId="0" borderId="1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6" fillId="7" borderId="18" xfId="0" applyFont="1" applyFill="1" applyBorder="1" applyAlignment="1"/>
    <xf numFmtId="0" fontId="6" fillId="8" borderId="17" xfId="0" applyFont="1" applyFill="1" applyBorder="1" applyAlignment="1">
      <alignment horizontal="center"/>
    </xf>
    <xf numFmtId="0" fontId="6" fillId="8" borderId="14" xfId="0" applyFont="1" applyFill="1" applyBorder="1" applyAlignment="1"/>
    <xf numFmtId="0" fontId="6" fillId="8" borderId="16" xfId="0" applyFont="1" applyFill="1" applyBorder="1" applyAlignment="1"/>
    <xf numFmtId="0" fontId="0" fillId="6" borderId="19" xfId="0" applyFill="1" applyBorder="1"/>
    <xf numFmtId="0" fontId="2" fillId="9" borderId="20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9" fillId="9" borderId="20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6" fillId="9" borderId="25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11" borderId="25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166" fontId="6" fillId="9" borderId="26" xfId="0" applyNumberFormat="1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29" xfId="0" applyBorder="1"/>
    <xf numFmtId="0" fontId="0" fillId="0" borderId="30" xfId="0" applyFill="1" applyBorder="1"/>
    <xf numFmtId="0" fontId="0" fillId="0" borderId="0" xfId="0" applyFill="1" applyBorder="1"/>
    <xf numFmtId="167" fontId="0" fillId="0" borderId="0" xfId="0" applyNumberFormat="1" applyBorder="1"/>
    <xf numFmtId="0" fontId="0" fillId="0" borderId="30" xfId="0" applyBorder="1"/>
    <xf numFmtId="0" fontId="11" fillId="0" borderId="30" xfId="0" applyFont="1" applyBorder="1" applyAlignment="1">
      <alignment horizontal="center"/>
    </xf>
    <xf numFmtId="0" fontId="0" fillId="0" borderId="23" xfId="0" applyBorder="1"/>
    <xf numFmtId="0" fontId="0" fillId="2" borderId="0" xfId="0" applyFill="1" applyAlignment="1">
      <alignment horizontal="center"/>
    </xf>
    <xf numFmtId="0" fontId="12" fillId="12" borderId="31" xfId="0" applyFont="1" applyFill="1" applyBorder="1" applyAlignment="1">
      <alignment horizontal="center"/>
    </xf>
    <xf numFmtId="0" fontId="12" fillId="12" borderId="25" xfId="0" applyFont="1" applyFill="1" applyBorder="1" applyAlignment="1">
      <alignment horizontal="center"/>
    </xf>
    <xf numFmtId="0" fontId="12" fillId="12" borderId="26" xfId="0" applyFont="1" applyFill="1" applyBorder="1" applyAlignment="1">
      <alignment horizontal="center"/>
    </xf>
    <xf numFmtId="0" fontId="12" fillId="12" borderId="32" xfId="0" applyFont="1" applyFill="1" applyBorder="1" applyAlignment="1">
      <alignment horizontal="center"/>
    </xf>
    <xf numFmtId="0" fontId="12" fillId="12" borderId="27" xfId="0" applyFont="1" applyFill="1" applyBorder="1" applyAlignment="1">
      <alignment horizontal="center"/>
    </xf>
    <xf numFmtId="0" fontId="6" fillId="12" borderId="25" xfId="0" applyFont="1" applyFill="1" applyBorder="1" applyAlignment="1">
      <alignment horizontal="center"/>
    </xf>
    <xf numFmtId="0" fontId="12" fillId="12" borderId="28" xfId="0" applyFont="1" applyFill="1" applyBorder="1" applyAlignment="1">
      <alignment horizontal="center"/>
    </xf>
    <xf numFmtId="0" fontId="12" fillId="12" borderId="0" xfId="0" applyFont="1" applyFill="1" applyBorder="1" applyAlignment="1">
      <alignment horizontal="center"/>
    </xf>
    <xf numFmtId="17" fontId="0" fillId="2" borderId="0" xfId="0" applyNumberFormat="1" applyFill="1"/>
    <xf numFmtId="0" fontId="2" fillId="0" borderId="33" xfId="0" applyFont="1" applyBorder="1"/>
    <xf numFmtId="167" fontId="2" fillId="0" borderId="34" xfId="1" applyNumberFormat="1" applyFont="1" applyFill="1" applyBorder="1"/>
    <xf numFmtId="165" fontId="6" fillId="0" borderId="34" xfId="1" applyNumberFormat="1" applyFont="1" applyBorder="1"/>
    <xf numFmtId="168" fontId="2" fillId="0" borderId="35" xfId="1" applyNumberFormat="1" applyFont="1" applyBorder="1"/>
    <xf numFmtId="168" fontId="2" fillId="0" borderId="13" xfId="1" applyNumberFormat="1" applyFont="1" applyBorder="1"/>
    <xf numFmtId="169" fontId="6" fillId="0" borderId="36" xfId="1" applyNumberFormat="1" applyFont="1" applyBorder="1"/>
    <xf numFmtId="165" fontId="2" fillId="0" borderId="34" xfId="1" applyNumberFormat="1" applyFont="1" applyFill="1" applyBorder="1"/>
    <xf numFmtId="4" fontId="2" fillId="0" borderId="35" xfId="1" applyNumberFormat="1" applyFont="1" applyFill="1" applyBorder="1"/>
    <xf numFmtId="167" fontId="2" fillId="2" borderId="34" xfId="1" applyNumberFormat="1" applyFont="1" applyFill="1" applyBorder="1"/>
    <xf numFmtId="165" fontId="6" fillId="0" borderId="34" xfId="1" applyNumberFormat="1" applyFont="1" applyFill="1" applyBorder="1"/>
    <xf numFmtId="167" fontId="2" fillId="0" borderId="37" xfId="1" applyNumberFormat="1" applyFont="1" applyFill="1" applyBorder="1"/>
    <xf numFmtId="170" fontId="2" fillId="0" borderId="35" xfId="1" applyNumberFormat="1" applyFont="1" applyFill="1" applyBorder="1"/>
    <xf numFmtId="171" fontId="2" fillId="0" borderId="13" xfId="1" applyNumberFormat="1" applyFont="1" applyFill="1" applyBorder="1"/>
    <xf numFmtId="167" fontId="2" fillId="0" borderId="13" xfId="1" applyNumberFormat="1" applyFont="1" applyFill="1" applyBorder="1"/>
    <xf numFmtId="167" fontId="2" fillId="0" borderId="13" xfId="1" applyNumberFormat="1" applyFont="1" applyBorder="1"/>
    <xf numFmtId="172" fontId="6" fillId="0" borderId="13" xfId="1" applyNumberFormat="1" applyFont="1" applyBorder="1"/>
    <xf numFmtId="169" fontId="2" fillId="0" borderId="35" xfId="1" applyNumberFormat="1" applyFont="1" applyFill="1" applyBorder="1"/>
    <xf numFmtId="168" fontId="2" fillId="0" borderId="13" xfId="1" applyNumberFormat="1" applyFont="1" applyFill="1" applyBorder="1"/>
    <xf numFmtId="169" fontId="6" fillId="0" borderId="36" xfId="1" applyNumberFormat="1" applyFont="1" applyFill="1" applyBorder="1"/>
    <xf numFmtId="168" fontId="2" fillId="0" borderId="38" xfId="1" applyNumberFormat="1" applyFont="1" applyFill="1" applyBorder="1"/>
    <xf numFmtId="173" fontId="6" fillId="0" borderId="13" xfId="1" applyNumberFormat="1" applyFont="1" applyBorder="1"/>
    <xf numFmtId="169" fontId="2" fillId="0" borderId="35" xfId="1" applyNumberFormat="1" applyFont="1" applyBorder="1"/>
    <xf numFmtId="174" fontId="6" fillId="0" borderId="13" xfId="1" applyNumberFormat="1" applyFont="1" applyBorder="1"/>
    <xf numFmtId="166" fontId="2" fillId="0" borderId="17" xfId="3" applyNumberFormat="1" applyFont="1" applyFill="1" applyBorder="1" applyAlignment="1">
      <alignment horizontal="center"/>
    </xf>
    <xf numFmtId="169" fontId="2" fillId="0" borderId="35" xfId="3" applyNumberFormat="1" applyFont="1" applyFill="1" applyBorder="1" applyAlignment="1">
      <alignment horizontal="center"/>
    </xf>
    <xf numFmtId="169" fontId="2" fillId="0" borderId="35" xfId="3" applyNumberFormat="1" applyFont="1" applyFill="1" applyBorder="1"/>
    <xf numFmtId="169" fontId="6" fillId="0" borderId="39" xfId="1" applyNumberFormat="1" applyFont="1" applyBorder="1"/>
    <xf numFmtId="169" fontId="6" fillId="0" borderId="0" xfId="1" applyNumberFormat="1" applyFont="1" applyBorder="1"/>
    <xf numFmtId="166" fontId="2" fillId="0" borderId="0" xfId="0" applyNumberFormat="1" applyFont="1"/>
    <xf numFmtId="175" fontId="1" fillId="2" borderId="0" xfId="2" applyNumberFormat="1" applyFont="1" applyFill="1"/>
    <xf numFmtId="0" fontId="6" fillId="0" borderId="0" xfId="0" applyFont="1"/>
    <xf numFmtId="0" fontId="2" fillId="0" borderId="40" xfId="0" applyFont="1" applyBorder="1"/>
    <xf numFmtId="168" fontId="2" fillId="0" borderId="35" xfId="1" applyNumberFormat="1" applyFont="1" applyFill="1" applyBorder="1"/>
    <xf numFmtId="167" fontId="2" fillId="0" borderId="38" xfId="1" applyNumberFormat="1" applyFont="1" applyFill="1" applyBorder="1"/>
    <xf numFmtId="169" fontId="6" fillId="0" borderId="39" xfId="1" applyNumberFormat="1" applyFont="1" applyFill="1" applyBorder="1"/>
    <xf numFmtId="169" fontId="6" fillId="0" borderId="0" xfId="1" applyNumberFormat="1" applyFont="1" applyFill="1" applyBorder="1"/>
    <xf numFmtId="173" fontId="6" fillId="0" borderId="13" xfId="1" applyNumberFormat="1" applyFont="1" applyFill="1" applyBorder="1"/>
    <xf numFmtId="172" fontId="6" fillId="0" borderId="13" xfId="1" applyNumberFormat="1" applyFont="1" applyFill="1" applyBorder="1"/>
    <xf numFmtId="0" fontId="2" fillId="0" borderId="40" xfId="0" applyFont="1" applyFill="1" applyBorder="1"/>
    <xf numFmtId="169" fontId="2" fillId="0" borderId="13" xfId="1" applyNumberFormat="1" applyFont="1" applyFill="1" applyBorder="1"/>
    <xf numFmtId="174" fontId="6" fillId="0" borderId="13" xfId="1" applyNumberFormat="1" applyFont="1" applyFill="1" applyBorder="1"/>
    <xf numFmtId="167" fontId="2" fillId="0" borderId="34" xfId="1" applyNumberFormat="1" applyFont="1" applyBorder="1"/>
    <xf numFmtId="165" fontId="2" fillId="0" borderId="34" xfId="1" applyNumberFormat="1" applyFont="1" applyBorder="1"/>
    <xf numFmtId="167" fontId="2" fillId="0" borderId="38" xfId="1" applyNumberFormat="1" applyFont="1" applyBorder="1"/>
    <xf numFmtId="172" fontId="6" fillId="2" borderId="13" xfId="1" applyNumberFormat="1" applyFont="1" applyFill="1" applyBorder="1"/>
    <xf numFmtId="168" fontId="2" fillId="0" borderId="38" xfId="1" applyNumberFormat="1" applyFont="1" applyBorder="1"/>
    <xf numFmtId="169" fontId="6" fillId="2" borderId="39" xfId="1" applyNumberFormat="1" applyFont="1" applyFill="1" applyBorder="1"/>
    <xf numFmtId="169" fontId="6" fillId="2" borderId="0" xfId="1" applyNumberFormat="1" applyFont="1" applyFill="1" applyBorder="1"/>
    <xf numFmtId="167" fontId="2" fillId="0" borderId="41" xfId="1" applyNumberFormat="1" applyFont="1" applyBorder="1"/>
    <xf numFmtId="0" fontId="2" fillId="13" borderId="40" xfId="0" applyFont="1" applyFill="1" applyBorder="1"/>
    <xf numFmtId="167" fontId="2" fillId="13" borderId="34" xfId="1" applyNumberFormat="1" applyFont="1" applyFill="1" applyBorder="1"/>
    <xf numFmtId="165" fontId="6" fillId="13" borderId="34" xfId="1" applyNumberFormat="1" applyFont="1" applyFill="1" applyBorder="1"/>
    <xf numFmtId="168" fontId="2" fillId="13" borderId="35" xfId="1" applyNumberFormat="1" applyFont="1" applyFill="1" applyBorder="1"/>
    <xf numFmtId="168" fontId="2" fillId="13" borderId="13" xfId="1" applyNumberFormat="1" applyFont="1" applyFill="1" applyBorder="1"/>
    <xf numFmtId="169" fontId="6" fillId="13" borderId="36" xfId="1" applyNumberFormat="1" applyFont="1" applyFill="1" applyBorder="1"/>
    <xf numFmtId="165" fontId="2" fillId="13" borderId="34" xfId="1" applyNumberFormat="1" applyFont="1" applyFill="1" applyBorder="1"/>
    <xf numFmtId="4" fontId="2" fillId="13" borderId="35" xfId="1" applyNumberFormat="1" applyFont="1" applyFill="1" applyBorder="1"/>
    <xf numFmtId="167" fontId="2" fillId="13" borderId="17" xfId="1" applyNumberFormat="1" applyFont="1" applyFill="1" applyBorder="1"/>
    <xf numFmtId="170" fontId="2" fillId="13" borderId="35" xfId="1" applyNumberFormat="1" applyFont="1" applyFill="1" applyBorder="1"/>
    <xf numFmtId="167" fontId="2" fillId="13" borderId="13" xfId="1" applyNumberFormat="1" applyFont="1" applyFill="1" applyBorder="1"/>
    <xf numFmtId="172" fontId="6" fillId="13" borderId="13" xfId="1" applyNumberFormat="1" applyFont="1" applyFill="1" applyBorder="1"/>
    <xf numFmtId="169" fontId="2" fillId="13" borderId="35" xfId="1" applyNumberFormat="1" applyFont="1" applyFill="1" applyBorder="1"/>
    <xf numFmtId="169" fontId="2" fillId="13" borderId="13" xfId="1" applyNumberFormat="1" applyFont="1" applyFill="1" applyBorder="1"/>
    <xf numFmtId="168" fontId="2" fillId="13" borderId="38" xfId="1" applyNumberFormat="1" applyFont="1" applyFill="1" applyBorder="1"/>
    <xf numFmtId="173" fontId="6" fillId="13" borderId="13" xfId="1" applyNumberFormat="1" applyFont="1" applyFill="1" applyBorder="1"/>
    <xf numFmtId="174" fontId="6" fillId="13" borderId="13" xfId="1" applyNumberFormat="1" applyFont="1" applyFill="1" applyBorder="1"/>
    <xf numFmtId="169" fontId="6" fillId="13" borderId="39" xfId="1" applyNumberFormat="1" applyFont="1" applyFill="1" applyBorder="1"/>
    <xf numFmtId="169" fontId="6" fillId="14" borderId="0" xfId="1" applyNumberFormat="1" applyFont="1" applyFill="1" applyBorder="1"/>
    <xf numFmtId="167" fontId="2" fillId="13" borderId="38" xfId="1" applyNumberFormat="1" applyFont="1" applyFill="1" applyBorder="1"/>
    <xf numFmtId="166" fontId="2" fillId="0" borderId="0" xfId="0" applyNumberFormat="1" applyFont="1" applyFill="1"/>
    <xf numFmtId="175" fontId="1" fillId="0" borderId="0" xfId="2" applyNumberFormat="1" applyFont="1" applyFill="1"/>
    <xf numFmtId="0" fontId="6" fillId="0" borderId="0" xfId="0" applyFont="1" applyFill="1"/>
    <xf numFmtId="0" fontId="6" fillId="12" borderId="42" xfId="0" applyFont="1" applyFill="1" applyBorder="1" applyProtection="1"/>
    <xf numFmtId="168" fontId="6" fillId="12" borderId="43" xfId="1" applyNumberFormat="1" applyFont="1" applyFill="1" applyBorder="1" applyAlignment="1">
      <alignment horizontal="center"/>
    </xf>
    <xf numFmtId="168" fontId="6" fillId="12" borderId="44" xfId="1" applyNumberFormat="1" applyFont="1" applyFill="1" applyBorder="1" applyAlignment="1">
      <alignment horizontal="center"/>
    </xf>
    <xf numFmtId="168" fontId="6" fillId="12" borderId="45" xfId="1" applyNumberFormat="1" applyFont="1" applyFill="1" applyBorder="1" applyAlignment="1">
      <alignment horizontal="center"/>
    </xf>
    <xf numFmtId="169" fontId="6" fillId="12" borderId="46" xfId="1" applyNumberFormat="1" applyFont="1" applyFill="1" applyBorder="1" applyAlignment="1">
      <alignment horizontal="center"/>
    </xf>
    <xf numFmtId="168" fontId="6" fillId="12" borderId="47" xfId="1" applyNumberFormat="1" applyFont="1" applyFill="1" applyBorder="1" applyAlignment="1">
      <alignment horizontal="center"/>
    </xf>
    <xf numFmtId="168" fontId="6" fillId="12" borderId="46" xfId="1" applyNumberFormat="1" applyFont="1" applyFill="1" applyBorder="1" applyAlignment="1">
      <alignment horizontal="center"/>
    </xf>
    <xf numFmtId="168" fontId="6" fillId="12" borderId="46" xfId="3" applyNumberFormat="1" applyFont="1" applyFill="1" applyBorder="1" applyAlignment="1">
      <alignment horizontal="center"/>
    </xf>
    <xf numFmtId="168" fontId="6" fillId="12" borderId="44" xfId="3" applyNumberFormat="1" applyFont="1" applyFill="1" applyBorder="1" applyAlignment="1">
      <alignment horizontal="center"/>
    </xf>
    <xf numFmtId="168" fontId="6" fillId="12" borderId="45" xfId="3" applyNumberFormat="1" applyFont="1" applyFill="1" applyBorder="1" applyAlignment="1">
      <alignment horizontal="center"/>
    </xf>
    <xf numFmtId="168" fontId="6" fillId="12" borderId="48" xfId="1" applyNumberFormat="1" applyFont="1" applyFill="1" applyBorder="1" applyAlignment="1">
      <alignment horizontal="center"/>
    </xf>
    <xf numFmtId="168" fontId="6" fillId="12" borderId="0" xfId="1" applyNumberFormat="1" applyFont="1" applyFill="1" applyBorder="1" applyAlignment="1">
      <alignment horizontal="center"/>
    </xf>
    <xf numFmtId="0" fontId="0" fillId="15" borderId="0" xfId="0" applyFill="1"/>
    <xf numFmtId="0" fontId="13" fillId="15" borderId="0" xfId="0" applyFont="1" applyFill="1"/>
    <xf numFmtId="0" fontId="0" fillId="0" borderId="0" xfId="0" applyAlignment="1">
      <alignment horizontal="center" vertical="center" wrapText="1"/>
    </xf>
    <xf numFmtId="164" fontId="0" fillId="0" borderId="0" xfId="0" applyNumberFormat="1"/>
  </cellXfs>
  <cellStyles count="6">
    <cellStyle name="Обычный" xfId="0" builtinId="0"/>
    <cellStyle name="Процентный" xfId="2" builtinId="5"/>
    <cellStyle name="Процентный 2" xfId="4"/>
    <cellStyle name="Стиль 1" xfId="5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45"/>
  <sheetViews>
    <sheetView tabSelected="1" zoomScale="70" zoomScaleNormal="70" zoomScaleSheetLayoutView="7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S6" sqref="AS6:AU6"/>
    </sheetView>
  </sheetViews>
  <sheetFormatPr defaultColWidth="9.109375" defaultRowHeight="13.2" x14ac:dyDescent="0.25"/>
  <cols>
    <col min="1" max="1" width="21.44140625" customWidth="1"/>
    <col min="2" max="2" width="22" customWidth="1"/>
    <col min="3" max="3" width="20.33203125" customWidth="1"/>
    <col min="4" max="4" width="20.109375" customWidth="1"/>
    <col min="5" max="5" width="32.88671875" customWidth="1"/>
    <col min="6" max="6" width="21.5546875" customWidth="1"/>
    <col min="7" max="7" width="23.6640625" customWidth="1"/>
    <col min="8" max="8" width="21.5546875" customWidth="1"/>
    <col min="9" max="10" width="20.109375" customWidth="1"/>
    <col min="11" max="11" width="17.6640625" customWidth="1"/>
    <col min="12" max="12" width="17.44140625" customWidth="1"/>
    <col min="13" max="13" width="12.88671875" customWidth="1"/>
    <col min="14" max="14" width="19.5546875" customWidth="1"/>
    <col min="15" max="15" width="22.33203125" customWidth="1"/>
    <col min="16" max="16" width="17.109375" customWidth="1"/>
    <col min="17" max="17" width="19.5546875" customWidth="1"/>
    <col min="18" max="18" width="21.5546875" customWidth="1"/>
    <col min="19" max="19" width="25.33203125" customWidth="1"/>
    <col min="20" max="20" width="24.33203125" customWidth="1"/>
    <col min="21" max="21" width="29.6640625" customWidth="1"/>
    <col min="22" max="22" width="18" customWidth="1"/>
    <col min="23" max="23" width="23.6640625" customWidth="1"/>
    <col min="24" max="24" width="14" customWidth="1"/>
    <col min="25" max="25" width="15.44140625" customWidth="1"/>
    <col min="26" max="26" width="15.109375" customWidth="1"/>
    <col min="27" max="27" width="14.5546875" customWidth="1"/>
    <col min="28" max="28" width="20.6640625" hidden="1" customWidth="1"/>
    <col min="29" max="29" width="12.88671875" customWidth="1"/>
    <col min="30" max="30" width="13.33203125" customWidth="1"/>
    <col min="31" max="31" width="13" customWidth="1"/>
    <col min="32" max="32" width="15.33203125" hidden="1" customWidth="1"/>
    <col min="33" max="33" width="20.33203125" hidden="1" customWidth="1"/>
    <col min="34" max="34" width="36.5546875" hidden="1" customWidth="1"/>
    <col min="35" max="35" width="25.44140625" customWidth="1"/>
    <col min="36" max="36" width="10.6640625" customWidth="1"/>
    <col min="37" max="37" width="16" customWidth="1"/>
    <col min="38" max="38" width="13.109375" customWidth="1"/>
    <col min="39" max="40" width="23.88671875" customWidth="1"/>
    <col min="41" max="41" width="46" customWidth="1"/>
    <col min="42" max="42" width="16.88671875" customWidth="1"/>
    <col min="43" max="43" width="21.109375" customWidth="1"/>
    <col min="44" max="44" width="20.44140625" customWidth="1"/>
    <col min="45" max="45" width="32" customWidth="1"/>
    <col min="46" max="46" width="27.44140625" customWidth="1"/>
    <col min="47" max="47" width="31.5546875" customWidth="1"/>
    <col min="48" max="48" width="16.88671875" customWidth="1"/>
    <col min="49" max="49" width="24" customWidth="1"/>
    <col min="50" max="50" width="18.5546875" customWidth="1"/>
    <col min="51" max="51" width="22.44140625" hidden="1" customWidth="1"/>
    <col min="52" max="52" width="17.88671875" hidden="1" customWidth="1"/>
    <col min="53" max="53" width="14.88671875" hidden="1" customWidth="1"/>
    <col min="54" max="55" width="17.88671875" hidden="1" customWidth="1"/>
    <col min="56" max="56" width="14.88671875" hidden="1" customWidth="1"/>
    <col min="57" max="57" width="13.88671875" customWidth="1"/>
    <col min="58" max="58" width="0" style="7" hidden="1" customWidth="1"/>
    <col min="59" max="59" width="13.88671875" hidden="1" customWidth="1"/>
    <col min="60" max="62" width="0" style="7" hidden="1" customWidth="1"/>
    <col min="63" max="65" width="12.33203125" style="7" hidden="1" customWidth="1"/>
    <col min="66" max="66" width="11" style="7" hidden="1" customWidth="1"/>
    <col min="67" max="69" width="0" style="7" hidden="1" customWidth="1"/>
    <col min="70" max="70" width="12.33203125" style="7" hidden="1" customWidth="1"/>
    <col min="71" max="71" width="12.88671875" style="7" hidden="1" customWidth="1"/>
    <col min="72" max="72" width="13" style="7" hidden="1" customWidth="1"/>
    <col min="73" max="73" width="11" style="7" hidden="1" customWidth="1"/>
    <col min="74" max="16384" width="9.109375" style="7"/>
  </cols>
  <sheetData>
    <row r="1" spans="1:73" s="6" customFormat="1" ht="16.5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1"/>
      <c r="O1" s="1"/>
      <c r="P1" s="1"/>
      <c r="Q1" s="1"/>
      <c r="R1" s="3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4"/>
      <c r="AM1" s="4"/>
      <c r="AN1" s="5"/>
      <c r="AO1" s="5"/>
      <c r="AP1" s="5"/>
      <c r="AQ1" s="4"/>
      <c r="AR1" s="1"/>
      <c r="AS1" s="4"/>
      <c r="AT1" s="4"/>
      <c r="AU1" s="5"/>
      <c r="AV1" s="5"/>
      <c r="AW1" s="4"/>
      <c r="AX1" s="1"/>
      <c r="BE1" s="1"/>
      <c r="BG1" s="1"/>
    </row>
    <row r="2" spans="1:73" ht="12.75" hidden="1" customHeight="1" x14ac:dyDescent="0.25">
      <c r="B2" s="2"/>
      <c r="C2" s="2"/>
      <c r="D2" s="2"/>
      <c r="E2" s="2"/>
      <c r="F2" s="2"/>
      <c r="G2" s="2"/>
      <c r="H2" s="2"/>
      <c r="BG2" s="1"/>
    </row>
    <row r="3" spans="1:73" ht="13.8" thickBot="1" x14ac:dyDescent="0.3">
      <c r="B3" s="8"/>
      <c r="C3" s="8"/>
      <c r="D3" s="8"/>
      <c r="E3" s="8"/>
      <c r="F3" s="8"/>
      <c r="G3" s="8"/>
      <c r="H3" s="8"/>
      <c r="I3" s="9"/>
      <c r="K3" s="10"/>
      <c r="L3" s="9"/>
      <c r="M3" s="9"/>
      <c r="BG3" s="1"/>
    </row>
    <row r="4" spans="1:73" ht="13.8" thickTop="1" x14ac:dyDescent="0.25">
      <c r="A4" s="11" t="s">
        <v>1</v>
      </c>
      <c r="B4" s="12"/>
      <c r="C4" s="13"/>
      <c r="D4" s="13"/>
      <c r="E4" s="13"/>
      <c r="F4" s="13"/>
      <c r="G4" s="13"/>
      <c r="H4" s="14"/>
      <c r="I4" s="15"/>
      <c r="J4" s="16"/>
      <c r="K4" s="16"/>
      <c r="L4" s="16"/>
      <c r="M4" s="16"/>
      <c r="N4" s="16"/>
      <c r="O4" s="16"/>
      <c r="P4" s="16"/>
      <c r="Q4" s="17"/>
      <c r="R4" s="15"/>
      <c r="S4" s="16"/>
      <c r="T4" s="16"/>
      <c r="U4" s="16"/>
      <c r="V4" s="16"/>
      <c r="W4" s="16"/>
      <c r="X4" s="17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8"/>
      <c r="AM4" s="15"/>
      <c r="AN4" s="16"/>
      <c r="AO4" s="16"/>
      <c r="AP4" s="16"/>
      <c r="AQ4" s="16"/>
      <c r="AR4" s="18"/>
      <c r="AS4" s="15"/>
      <c r="AT4" s="16"/>
      <c r="AU4" s="16"/>
      <c r="AV4" s="16"/>
      <c r="AW4" s="16"/>
      <c r="AX4" s="18"/>
      <c r="AY4" s="19"/>
      <c r="AZ4" s="20"/>
      <c r="BA4" s="21"/>
      <c r="BB4" s="19"/>
      <c r="BC4" s="20"/>
      <c r="BD4" s="21"/>
      <c r="BE4" s="22"/>
      <c r="BF4" s="23"/>
      <c r="BG4" s="1"/>
    </row>
    <row r="5" spans="1:73" ht="13.8" thickBot="1" x14ac:dyDescent="0.3">
      <c r="A5" s="24"/>
      <c r="B5" s="25"/>
      <c r="C5" s="26"/>
      <c r="D5" s="26"/>
      <c r="E5" s="27" t="s">
        <v>2</v>
      </c>
      <c r="F5" s="28"/>
      <c r="G5" s="29"/>
      <c r="H5" s="30"/>
      <c r="I5" s="31"/>
      <c r="J5" s="26"/>
      <c r="K5" s="26"/>
      <c r="L5" s="32"/>
      <c r="M5" s="32"/>
      <c r="N5" s="27" t="s">
        <v>3</v>
      </c>
      <c r="O5" s="28"/>
      <c r="P5" s="29"/>
      <c r="Q5" s="30"/>
      <c r="R5" s="31"/>
      <c r="S5" s="26"/>
      <c r="T5" s="26"/>
      <c r="U5" s="27" t="s">
        <v>4</v>
      </c>
      <c r="V5" s="28"/>
      <c r="W5" s="29"/>
      <c r="X5" s="30"/>
      <c r="Y5" s="33"/>
      <c r="Z5" s="26"/>
      <c r="AA5" s="26"/>
      <c r="AB5" s="32"/>
      <c r="AC5" s="32"/>
      <c r="AD5" s="32"/>
      <c r="AE5" s="32"/>
      <c r="AF5" s="32"/>
      <c r="AG5" s="32"/>
      <c r="AH5" s="32"/>
      <c r="AI5" s="27" t="s">
        <v>5</v>
      </c>
      <c r="AJ5" s="28"/>
      <c r="AK5" s="29"/>
      <c r="AL5" s="34"/>
      <c r="AM5" s="31"/>
      <c r="AN5" s="26"/>
      <c r="AO5" s="27" t="s">
        <v>6</v>
      </c>
      <c r="AP5" s="28"/>
      <c r="AQ5" s="29"/>
      <c r="AR5" s="34"/>
      <c r="AS5" s="31"/>
      <c r="AT5" s="26"/>
      <c r="AU5" s="27" t="s">
        <v>7</v>
      </c>
      <c r="AV5" s="28"/>
      <c r="AW5" s="29"/>
      <c r="AX5" s="34"/>
      <c r="AY5" s="35" t="s">
        <v>8</v>
      </c>
      <c r="AZ5" s="36"/>
      <c r="BA5" s="37"/>
      <c r="BB5" s="35" t="s">
        <v>9</v>
      </c>
      <c r="BC5" s="36"/>
      <c r="BD5" s="37"/>
      <c r="BE5" s="38"/>
      <c r="BF5" s="23"/>
      <c r="BG5" s="1"/>
    </row>
    <row r="6" spans="1:73" ht="159.75" customHeight="1" thickBot="1" x14ac:dyDescent="0.3">
      <c r="A6" s="24"/>
      <c r="B6" s="39" t="s">
        <v>10</v>
      </c>
      <c r="C6" s="39" t="s">
        <v>11</v>
      </c>
      <c r="D6" s="39" t="s">
        <v>12</v>
      </c>
      <c r="E6" s="39" t="s">
        <v>13</v>
      </c>
      <c r="F6" s="40" t="s">
        <v>14</v>
      </c>
      <c r="G6" s="40" t="s">
        <v>15</v>
      </c>
      <c r="H6" s="41" t="s">
        <v>16</v>
      </c>
      <c r="I6" s="39" t="s">
        <v>17</v>
      </c>
      <c r="J6" s="39" t="s">
        <v>18</v>
      </c>
      <c r="K6" s="39" t="s">
        <v>19</v>
      </c>
      <c r="L6" s="39" t="s">
        <v>20</v>
      </c>
      <c r="M6" s="39" t="s">
        <v>21</v>
      </c>
      <c r="N6" s="39" t="s">
        <v>22</v>
      </c>
      <c r="O6" s="40" t="s">
        <v>14</v>
      </c>
      <c r="P6" s="40" t="s">
        <v>15</v>
      </c>
      <c r="Q6" s="41" t="s">
        <v>16</v>
      </c>
      <c r="R6" s="39" t="s">
        <v>23</v>
      </c>
      <c r="S6" s="39" t="s">
        <v>24</v>
      </c>
      <c r="T6" s="39" t="s">
        <v>25</v>
      </c>
      <c r="U6" s="39" t="s">
        <v>26</v>
      </c>
      <c r="V6" s="40" t="s">
        <v>14</v>
      </c>
      <c r="W6" s="40" t="s">
        <v>15</v>
      </c>
      <c r="X6" s="41" t="s">
        <v>16</v>
      </c>
      <c r="Y6" s="39" t="s">
        <v>27</v>
      </c>
      <c r="Z6" s="39" t="s">
        <v>28</v>
      </c>
      <c r="AA6" s="39" t="s">
        <v>29</v>
      </c>
      <c r="AB6" s="39" t="s">
        <v>30</v>
      </c>
      <c r="AC6" s="39" t="s">
        <v>31</v>
      </c>
      <c r="AD6" s="39" t="s">
        <v>32</v>
      </c>
      <c r="AE6" s="39" t="s">
        <v>33</v>
      </c>
      <c r="AF6" s="42" t="s">
        <v>34</v>
      </c>
      <c r="AG6" s="42" t="s">
        <v>35</v>
      </c>
      <c r="AH6" s="42" t="s">
        <v>36</v>
      </c>
      <c r="AI6" s="39" t="s">
        <v>37</v>
      </c>
      <c r="AJ6" s="40" t="s">
        <v>14</v>
      </c>
      <c r="AK6" s="40" t="s">
        <v>15</v>
      </c>
      <c r="AL6" s="40" t="s">
        <v>16</v>
      </c>
      <c r="AM6" s="43" t="s">
        <v>38</v>
      </c>
      <c r="AN6" s="39" t="s">
        <v>39</v>
      </c>
      <c r="AO6" s="39" t="s">
        <v>40</v>
      </c>
      <c r="AP6" s="40" t="s">
        <v>14</v>
      </c>
      <c r="AQ6" s="40" t="s">
        <v>15</v>
      </c>
      <c r="AR6" s="40" t="s">
        <v>16</v>
      </c>
      <c r="AS6" s="43" t="s">
        <v>41</v>
      </c>
      <c r="AT6" s="39" t="s">
        <v>42</v>
      </c>
      <c r="AU6" s="39" t="s">
        <v>43</v>
      </c>
      <c r="AV6" s="40" t="s">
        <v>14</v>
      </c>
      <c r="AW6" s="40" t="s">
        <v>15</v>
      </c>
      <c r="AX6" s="40" t="s">
        <v>16</v>
      </c>
      <c r="AY6" s="43" t="s">
        <v>44</v>
      </c>
      <c r="AZ6" s="40" t="s">
        <v>14</v>
      </c>
      <c r="BA6" s="41" t="s">
        <v>16</v>
      </c>
      <c r="BB6" s="43" t="s">
        <v>45</v>
      </c>
      <c r="BC6" s="40" t="s">
        <v>14</v>
      </c>
      <c r="BD6" s="41" t="s">
        <v>16</v>
      </c>
      <c r="BE6" s="44" t="s">
        <v>46</v>
      </c>
      <c r="BF6" s="45"/>
      <c r="BG6" s="1" t="s">
        <v>47</v>
      </c>
    </row>
    <row r="7" spans="1:73" ht="54" thickTop="1" thickBot="1" x14ac:dyDescent="0.3">
      <c r="A7" s="46"/>
      <c r="B7" s="47" t="s">
        <v>48</v>
      </c>
      <c r="C7" s="47" t="s">
        <v>49</v>
      </c>
      <c r="D7" s="47" t="s">
        <v>50</v>
      </c>
      <c r="E7" s="47" t="s">
        <v>51</v>
      </c>
      <c r="F7" s="47" t="s">
        <v>52</v>
      </c>
      <c r="G7" s="47" t="s">
        <v>52</v>
      </c>
      <c r="H7" s="48">
        <v>1</v>
      </c>
      <c r="I7" s="47" t="s">
        <v>48</v>
      </c>
      <c r="J7" s="47" t="s">
        <v>49</v>
      </c>
      <c r="K7" s="47" t="s">
        <v>50</v>
      </c>
      <c r="L7" s="47" t="s">
        <v>53</v>
      </c>
      <c r="M7" s="47"/>
      <c r="N7" s="47" t="s">
        <v>54</v>
      </c>
      <c r="O7" s="49" t="s">
        <v>52</v>
      </c>
      <c r="P7" s="50" t="s">
        <v>55</v>
      </c>
      <c r="Q7" s="48">
        <v>1</v>
      </c>
      <c r="R7" s="47" t="s">
        <v>48</v>
      </c>
      <c r="S7" s="47" t="s">
        <v>49</v>
      </c>
      <c r="T7" s="47" t="s">
        <v>50</v>
      </c>
      <c r="U7" s="47" t="s">
        <v>56</v>
      </c>
      <c r="V7" s="47" t="s">
        <v>57</v>
      </c>
      <c r="W7" s="47" t="s">
        <v>57</v>
      </c>
      <c r="X7" s="48">
        <v>1</v>
      </c>
      <c r="Y7" s="47" t="s">
        <v>48</v>
      </c>
      <c r="Z7" s="47" t="s">
        <v>49</v>
      </c>
      <c r="AA7" s="47" t="s">
        <v>50</v>
      </c>
      <c r="AB7" s="47" t="s">
        <v>58</v>
      </c>
      <c r="AC7" s="47" t="s">
        <v>53</v>
      </c>
      <c r="AD7" s="47" t="s">
        <v>59</v>
      </c>
      <c r="AE7" s="47" t="s">
        <v>60</v>
      </c>
      <c r="AF7" s="51"/>
      <c r="AG7" s="51"/>
      <c r="AH7" s="51"/>
      <c r="AI7" s="47" t="s">
        <v>61</v>
      </c>
      <c r="AJ7" s="47" t="s">
        <v>62</v>
      </c>
      <c r="AK7" s="47" t="s">
        <v>63</v>
      </c>
      <c r="AL7" s="47">
        <v>1.5</v>
      </c>
      <c r="AM7" s="47" t="s">
        <v>48</v>
      </c>
      <c r="AN7" s="47" t="s">
        <v>49</v>
      </c>
      <c r="AO7" s="47" t="s">
        <v>64</v>
      </c>
      <c r="AP7" s="47" t="s">
        <v>52</v>
      </c>
      <c r="AQ7" s="47" t="s">
        <v>52</v>
      </c>
      <c r="AR7" s="47">
        <v>1</v>
      </c>
      <c r="AS7" s="47" t="s">
        <v>48</v>
      </c>
      <c r="AT7" s="47" t="s">
        <v>49</v>
      </c>
      <c r="AU7" s="47" t="s">
        <v>64</v>
      </c>
      <c r="AV7" s="47" t="s">
        <v>52</v>
      </c>
      <c r="AW7" s="47" t="s">
        <v>52</v>
      </c>
      <c r="AX7" s="47">
        <v>1</v>
      </c>
      <c r="AY7" s="52" t="s">
        <v>48</v>
      </c>
      <c r="AZ7" s="47">
        <v>2</v>
      </c>
      <c r="BA7" s="53">
        <v>2</v>
      </c>
      <c r="BB7" s="52" t="s">
        <v>48</v>
      </c>
      <c r="BC7" s="47">
        <v>1</v>
      </c>
      <c r="BD7" s="53">
        <v>1</v>
      </c>
      <c r="BE7" s="54"/>
      <c r="BF7" s="55"/>
      <c r="BG7" s="1"/>
    </row>
    <row r="8" spans="1:73" ht="15" thickTop="1" thickBot="1" x14ac:dyDescent="0.3">
      <c r="A8" s="56"/>
      <c r="B8" s="57" t="s">
        <v>65</v>
      </c>
      <c r="C8" s="57" t="s">
        <v>65</v>
      </c>
      <c r="D8" s="57" t="s">
        <v>65</v>
      </c>
      <c r="E8" s="57"/>
      <c r="F8" s="57"/>
      <c r="G8" s="57"/>
      <c r="H8" s="58"/>
      <c r="I8" s="59"/>
      <c r="J8" s="57"/>
      <c r="K8" s="57"/>
      <c r="L8" s="60"/>
      <c r="M8" s="60"/>
      <c r="N8" s="57"/>
      <c r="O8" s="57"/>
      <c r="P8" s="57"/>
      <c r="Q8" s="58"/>
      <c r="R8" s="59"/>
      <c r="S8" s="57"/>
      <c r="T8" s="57"/>
      <c r="U8" s="57"/>
      <c r="V8" s="57"/>
      <c r="W8" s="57"/>
      <c r="X8" s="58"/>
      <c r="Y8" s="61" t="s">
        <v>65</v>
      </c>
      <c r="Z8" s="57"/>
      <c r="AA8" s="57"/>
      <c r="AB8" s="60"/>
      <c r="AC8" s="61"/>
      <c r="AD8" s="57"/>
      <c r="AE8" s="57"/>
      <c r="AF8" s="57"/>
      <c r="AG8" s="57"/>
      <c r="AH8" s="57"/>
      <c r="AI8" s="57"/>
      <c r="AJ8" s="57"/>
      <c r="AK8" s="57"/>
      <c r="AL8" s="57"/>
      <c r="AM8" s="62"/>
      <c r="AN8" s="57"/>
      <c r="AO8" s="57"/>
      <c r="AP8" s="57"/>
      <c r="AQ8" s="57"/>
      <c r="AR8" s="57"/>
      <c r="AS8" s="62"/>
      <c r="AT8" s="57"/>
      <c r="AU8" s="57"/>
      <c r="AV8" s="57"/>
      <c r="AW8" s="57"/>
      <c r="AX8" s="57"/>
      <c r="AY8" s="63"/>
      <c r="AZ8" s="57"/>
      <c r="BA8" s="58"/>
      <c r="BB8" s="63"/>
      <c r="BC8" s="57"/>
      <c r="BD8" s="58"/>
      <c r="BE8" s="64"/>
      <c r="BF8" s="57"/>
      <c r="BG8" s="1"/>
      <c r="BP8" s="65" t="s">
        <v>66</v>
      </c>
    </row>
    <row r="9" spans="1:73" ht="14.4" thickTop="1" thickBot="1" x14ac:dyDescent="0.3">
      <c r="A9" s="66"/>
      <c r="B9" s="67"/>
      <c r="C9" s="67"/>
      <c r="D9" s="67"/>
      <c r="E9" s="67"/>
      <c r="F9" s="67"/>
      <c r="G9" s="67"/>
      <c r="H9" s="68"/>
      <c r="I9" s="69"/>
      <c r="J9" s="67"/>
      <c r="K9" s="67"/>
      <c r="L9" s="67"/>
      <c r="M9" s="67"/>
      <c r="N9" s="67"/>
      <c r="O9" s="67"/>
      <c r="P9" s="67"/>
      <c r="Q9" s="68"/>
      <c r="R9" s="69"/>
      <c r="S9" s="67"/>
      <c r="T9" s="67"/>
      <c r="U9" s="67"/>
      <c r="V9" s="67"/>
      <c r="W9" s="67"/>
      <c r="X9" s="68"/>
      <c r="Y9" s="70"/>
      <c r="Z9" s="67"/>
      <c r="AA9" s="67"/>
      <c r="AB9" s="67"/>
      <c r="AC9" s="67"/>
      <c r="AD9" s="67"/>
      <c r="AE9" s="67"/>
      <c r="AF9" s="67"/>
      <c r="AG9" s="67"/>
      <c r="AH9" s="67"/>
      <c r="AI9" s="71" t="s">
        <v>67</v>
      </c>
      <c r="AJ9" s="67"/>
      <c r="AK9" s="67"/>
      <c r="AL9" s="67"/>
      <c r="AM9" s="69"/>
      <c r="AN9" s="67"/>
      <c r="AO9" s="67"/>
      <c r="AP9" s="67"/>
      <c r="AQ9" s="67"/>
      <c r="AR9" s="67"/>
      <c r="AS9" s="69"/>
      <c r="AT9" s="67"/>
      <c r="AU9" s="67"/>
      <c r="AV9" s="67"/>
      <c r="AW9" s="67"/>
      <c r="AX9" s="67"/>
      <c r="AY9" s="69"/>
      <c r="AZ9" s="67"/>
      <c r="BA9" s="68"/>
      <c r="BB9" s="69"/>
      <c r="BC9" s="67"/>
      <c r="BD9" s="68"/>
      <c r="BE9" s="72"/>
      <c r="BF9" s="73"/>
      <c r="BG9" s="1"/>
      <c r="BJ9" s="7" t="s">
        <v>68</v>
      </c>
      <c r="BK9" s="74" t="s">
        <v>69</v>
      </c>
      <c r="BL9" s="7" t="s">
        <v>70</v>
      </c>
      <c r="BM9" s="7" t="s">
        <v>71</v>
      </c>
      <c r="BN9" s="7" t="s">
        <v>72</v>
      </c>
      <c r="BP9" s="65" t="s">
        <v>73</v>
      </c>
      <c r="BQ9" s="7" t="s">
        <v>74</v>
      </c>
      <c r="BR9" s="74" t="s">
        <v>75</v>
      </c>
      <c r="BS9" s="7" t="s">
        <v>76</v>
      </c>
      <c r="BT9" s="7" t="s">
        <v>77</v>
      </c>
      <c r="BU9" s="7" t="s">
        <v>72</v>
      </c>
    </row>
    <row r="10" spans="1:73" ht="13.8" thickTop="1" x14ac:dyDescent="0.25">
      <c r="A10" s="75" t="s">
        <v>78</v>
      </c>
      <c r="B10" s="76">
        <v>2595022.4339999999</v>
      </c>
      <c r="C10" s="76">
        <v>182036.44125</v>
      </c>
      <c r="D10" s="76">
        <v>2595713.4339999999</v>
      </c>
      <c r="E10" s="77">
        <f>IF(AND(B10=0,D10=0),0,B10/(IF(C10&gt;0,C10,0)+D10))</f>
        <v>0.93421746037030984</v>
      </c>
      <c r="F10" s="78">
        <f>IF(E10&lt;=1.05,1,0)</f>
        <v>1</v>
      </c>
      <c r="G10" s="79"/>
      <c r="H10" s="80">
        <f t="shared" ref="H10:H41" si="0">F10+G10</f>
        <v>1</v>
      </c>
      <c r="I10" s="76">
        <v>2203679.2928400002</v>
      </c>
      <c r="J10" s="81">
        <v>11503123.05632</v>
      </c>
      <c r="K10" s="82">
        <v>8346776.0563199995</v>
      </c>
      <c r="L10" s="76">
        <v>170913</v>
      </c>
      <c r="M10" s="83">
        <v>0</v>
      </c>
      <c r="N10" s="84">
        <f>(I10-M10)/(J10-K10-L10)</f>
        <v>0.73814369798159984</v>
      </c>
      <c r="O10" s="78">
        <f t="shared" ref="O10:O17" si="1">IF(N10&lt;=1,1,0)</f>
        <v>1</v>
      </c>
      <c r="P10" s="79"/>
      <c r="Q10" s="80">
        <f t="shared" ref="Q10:Q41" si="2">O10+P10</f>
        <v>1</v>
      </c>
      <c r="R10" s="85">
        <v>199999.63774000001</v>
      </c>
      <c r="S10" s="76">
        <v>11685159.497570001</v>
      </c>
      <c r="T10" s="86">
        <v>3246751.7667100001</v>
      </c>
      <c r="U10" s="77">
        <f t="shared" ref="U10:U41" si="3">R10/(S10-T10)</f>
        <v>2.3701110934540852E-2</v>
      </c>
      <c r="V10" s="78">
        <f t="shared" ref="V10:V17" si="4">IF(U10&lt;=0.15,1,0)</f>
        <v>1</v>
      </c>
      <c r="W10" s="79"/>
      <c r="X10" s="80">
        <f>V10+W10</f>
        <v>1</v>
      </c>
      <c r="Y10" s="76">
        <f>C10</f>
        <v>182036.44125</v>
      </c>
      <c r="Z10" s="87">
        <v>691</v>
      </c>
      <c r="AA10" s="88">
        <v>182036.44125</v>
      </c>
      <c r="AB10" s="89"/>
      <c r="AC10" s="89">
        <f t="shared" ref="AC10:AE41" si="5">J10</f>
        <v>11503123.05632</v>
      </c>
      <c r="AD10" s="89">
        <f t="shared" si="5"/>
        <v>8346776.0563199995</v>
      </c>
      <c r="AE10" s="88">
        <f t="shared" si="5"/>
        <v>170913</v>
      </c>
      <c r="AF10" s="89">
        <f>AC10-AD10-AE10</f>
        <v>2985434.0000000009</v>
      </c>
      <c r="AG10" s="89">
        <f t="shared" ref="AG10:AG18" si="6">AF10*10%</f>
        <v>298543.40000000008</v>
      </c>
      <c r="AH10" s="89">
        <f t="shared" ref="AH10:AH16" si="7">IF(AA10&gt;0,AA10,0)+AG10+IF(AB10&gt;0,AB10,0)</f>
        <v>480579.84125000006</v>
      </c>
      <c r="AI10" s="90">
        <f t="shared" ref="AI10:AI41" si="8">IF((Y10-IF(Z10&gt;0,Z10,0)-IF(AA10&gt;0,AA10,0)-IF(AB10&gt;0,AB10,0))/(AC10-AD10-AE10)&gt;0,(Y10-IF(Z10&gt;0,Z10,0)-IF(AA10&gt;0,AA10,0)-IF(AB10&gt;0,AB10,0))/(AC10-AD10-AE10),0)</f>
        <v>0</v>
      </c>
      <c r="AJ10" s="91">
        <f>IF(AI10&lt;=0.1,1.5,0)</f>
        <v>1.5</v>
      </c>
      <c r="AK10" s="92"/>
      <c r="AL10" s="93">
        <f t="shared" ref="AL10:AL41" si="9">AJ10+AK10</f>
        <v>1.5</v>
      </c>
      <c r="AM10" s="94">
        <v>282949</v>
      </c>
      <c r="AN10" s="92">
        <v>299896.7</v>
      </c>
      <c r="AO10" s="95">
        <f t="shared" ref="AO10:AO41" si="10">AM10/AN10</f>
        <v>0.94348820777287645</v>
      </c>
      <c r="AP10" s="96">
        <f>IF(AO10&lt;=1,1,0)</f>
        <v>1</v>
      </c>
      <c r="AQ10" s="79"/>
      <c r="AR10" s="97">
        <f>AP10+AQ10</f>
        <v>1</v>
      </c>
      <c r="AS10" s="94">
        <v>523559</v>
      </c>
      <c r="AT10" s="92">
        <v>541925.4</v>
      </c>
      <c r="AU10" s="90">
        <f>AS10/AT10</f>
        <v>0.96610898843272519</v>
      </c>
      <c r="AV10" s="96">
        <f>IF(AU10&lt;=1,1,0)</f>
        <v>1</v>
      </c>
      <c r="AW10" s="79"/>
      <c r="AX10" s="97">
        <f t="shared" ref="AX10:AX41" si="11">AV10+AW10</f>
        <v>1</v>
      </c>
      <c r="AY10" s="98"/>
      <c r="AZ10" s="99">
        <f>IF(AY10="да",2,0)</f>
        <v>0</v>
      </c>
      <c r="BA10" s="100">
        <f>AZ10</f>
        <v>0</v>
      </c>
      <c r="BB10" s="98"/>
      <c r="BC10" s="99"/>
      <c r="BD10" s="100">
        <f>BC10</f>
        <v>0</v>
      </c>
      <c r="BE10" s="101">
        <f>H10+Q10+X10+AL10+AR10+AX10+BA10+BD10</f>
        <v>6.5</v>
      </c>
      <c r="BF10" s="102"/>
      <c r="BG10" s="103">
        <v>934451.47</v>
      </c>
      <c r="BI10" s="104">
        <f t="shared" ref="BI10:BI41" si="12">(AD10+AE10-T10)/(AC10-T10)</f>
        <v>0.63840846114116312</v>
      </c>
      <c r="BJ10" s="7">
        <f>IF(($BI10&lt;=10%),1,0)</f>
        <v>0</v>
      </c>
      <c r="BK10" s="105">
        <f>IF(AND(BI10&gt;10%,BI10&lt;30%),1,0)</f>
        <v>0</v>
      </c>
      <c r="BL10" s="105">
        <f>IF(AND(BI10&gt;30%,BI10&lt;70%),1,0)</f>
        <v>1</v>
      </c>
      <c r="BM10" s="105">
        <f>IF(AND(BI10&gt;70%,BI10&lt;90%),1,0)</f>
        <v>0</v>
      </c>
      <c r="BN10" s="7">
        <f>IF(($BI10&gt;=90%),1,0)</f>
        <v>0</v>
      </c>
      <c r="BP10" s="104">
        <f>(BG10+L10)/(J10-T10)</f>
        <v>0.13388017946710015</v>
      </c>
      <c r="BQ10" s="7">
        <f>IF(($BP10&lt;=4.9%),1,0)</f>
        <v>0</v>
      </c>
      <c r="BR10" s="105">
        <f>IF(AND(BP10&gt;5%,BP10&lt;19.9%),1,0)</f>
        <v>1</v>
      </c>
      <c r="BS10" s="105">
        <f>IF(AND(BP10&gt;20%,BP10&lt;49.9%),1,0)</f>
        <v>0</v>
      </c>
      <c r="BT10" s="105">
        <f>IF(AND(BP10&gt;50%,BP10&lt;89.9%),1,0)</f>
        <v>0</v>
      </c>
      <c r="BU10" s="7">
        <f>IF((BP10&gt;=90%),1,0)</f>
        <v>0</v>
      </c>
    </row>
    <row r="11" spans="1:73" x14ac:dyDescent="0.25">
      <c r="A11" s="106" t="s">
        <v>79</v>
      </c>
      <c r="B11" s="76">
        <v>0</v>
      </c>
      <c r="C11" s="76">
        <v>22234.164100000002</v>
      </c>
      <c r="D11" s="76">
        <v>0</v>
      </c>
      <c r="E11" s="77">
        <f t="shared" ref="E11:E41" si="13">IF(AND(B11=0,D11=0),0,B11/(IF(C11&gt;0,C11,0)+D11))</f>
        <v>0</v>
      </c>
      <c r="F11" s="107">
        <f t="shared" ref="F11:F18" si="14">IF(E11&lt;=1.05,1,0)</f>
        <v>1</v>
      </c>
      <c r="G11" s="79"/>
      <c r="H11" s="80">
        <f t="shared" si="0"/>
        <v>1</v>
      </c>
      <c r="I11" s="76">
        <v>60000</v>
      </c>
      <c r="J11" s="81">
        <v>1276716.6088</v>
      </c>
      <c r="K11" s="82">
        <v>811424.83679999993</v>
      </c>
      <c r="L11" s="76">
        <v>207811</v>
      </c>
      <c r="M11" s="83">
        <v>0</v>
      </c>
      <c r="N11" s="77">
        <f t="shared" ref="N11:N41" si="15">(I11-M11)/(J11-K11-L11)</f>
        <v>0.23302710930197137</v>
      </c>
      <c r="O11" s="78">
        <f t="shared" si="1"/>
        <v>1</v>
      </c>
      <c r="P11" s="79"/>
      <c r="Q11" s="80">
        <f t="shared" si="2"/>
        <v>1</v>
      </c>
      <c r="R11" s="108">
        <v>5387.8384800000003</v>
      </c>
      <c r="S11" s="76">
        <v>1298950.7729</v>
      </c>
      <c r="T11" s="86">
        <v>485184.17898999999</v>
      </c>
      <c r="U11" s="77">
        <f t="shared" si="3"/>
        <v>6.6208646561815949E-3</v>
      </c>
      <c r="V11" s="78">
        <f t="shared" si="4"/>
        <v>1</v>
      </c>
      <c r="W11" s="79"/>
      <c r="X11" s="80">
        <f t="shared" ref="X11:X41" si="16">V11+W11</f>
        <v>1</v>
      </c>
      <c r="Y11" s="76">
        <f t="shared" ref="Y11:Y41" si="17">C11</f>
        <v>22234.164100000002</v>
      </c>
      <c r="Z11" s="88"/>
      <c r="AA11" s="88">
        <v>22234.164100000002</v>
      </c>
      <c r="AB11" s="89"/>
      <c r="AC11" s="89">
        <f t="shared" si="5"/>
        <v>1276716.6088</v>
      </c>
      <c r="AD11" s="89">
        <f t="shared" si="5"/>
        <v>811424.83679999993</v>
      </c>
      <c r="AE11" s="88">
        <f t="shared" si="5"/>
        <v>207811</v>
      </c>
      <c r="AF11" s="89">
        <f t="shared" ref="AF11:AF41" si="18">AC11-AD11-AE11</f>
        <v>257480.77200000011</v>
      </c>
      <c r="AG11" s="89">
        <f t="shared" si="6"/>
        <v>25748.077200000014</v>
      </c>
      <c r="AH11" s="89">
        <f t="shared" si="7"/>
        <v>47982.241300000016</v>
      </c>
      <c r="AI11" s="90">
        <f t="shared" si="8"/>
        <v>0</v>
      </c>
      <c r="AJ11" s="91">
        <f t="shared" ref="AJ11:AJ18" si="19">IF(AI11&lt;=0.1,1.5,0)</f>
        <v>1.5</v>
      </c>
      <c r="AK11" s="79"/>
      <c r="AL11" s="80">
        <f t="shared" si="9"/>
        <v>1.5</v>
      </c>
      <c r="AM11" s="94">
        <v>37958.6</v>
      </c>
      <c r="AN11" s="92">
        <v>38675.300000000003</v>
      </c>
      <c r="AO11" s="95">
        <f t="shared" si="10"/>
        <v>0.98146879274368903</v>
      </c>
      <c r="AP11" s="96">
        <f t="shared" ref="AP11:AP18" si="20">IF(AO11&lt;=1,1,0)</f>
        <v>1</v>
      </c>
      <c r="AQ11" s="79"/>
      <c r="AR11" s="97">
        <f t="shared" ref="AR11:AR38" si="21">AP11+AQ11</f>
        <v>1</v>
      </c>
      <c r="AS11" s="94">
        <v>72544.7</v>
      </c>
      <c r="AT11" s="92">
        <v>86984.7</v>
      </c>
      <c r="AU11" s="90">
        <f t="shared" ref="AU11:AU41" si="22">AS11/AT11</f>
        <v>0.83399379431095355</v>
      </c>
      <c r="AV11" s="96">
        <f t="shared" ref="AV11:AV18" si="23">IF(AU11&lt;=1,1,0)</f>
        <v>1</v>
      </c>
      <c r="AW11" s="79"/>
      <c r="AX11" s="97">
        <f t="shared" si="11"/>
        <v>1</v>
      </c>
      <c r="AY11" s="98"/>
      <c r="AZ11" s="99">
        <f t="shared" ref="AZ11:AZ41" si="24">IF(AY11="да",2,0)</f>
        <v>0</v>
      </c>
      <c r="BA11" s="100">
        <f t="shared" ref="BA11:BA41" si="25">AZ11</f>
        <v>0</v>
      </c>
      <c r="BB11" s="98"/>
      <c r="BC11" s="99"/>
      <c r="BD11" s="100">
        <f t="shared" ref="BD11:BD41" si="26">BC11</f>
        <v>0</v>
      </c>
      <c r="BE11" s="109">
        <f t="shared" ref="BE11:BE41" si="27">H11+Q11+X11+AL11+AR11+AX11+BA11+BD11</f>
        <v>6.5</v>
      </c>
      <c r="BF11" s="110"/>
      <c r="BG11" s="103">
        <v>42722.347000000002</v>
      </c>
      <c r="BI11" s="104">
        <f t="shared" si="12"/>
        <v>0.67470597248705788</v>
      </c>
      <c r="BJ11" s="7">
        <f t="shared" ref="BJ11:BJ41" si="28">IF(($BI11&lt;=10%),1,0)</f>
        <v>0</v>
      </c>
      <c r="BK11" s="105">
        <f t="shared" ref="BK11:BK41" si="29">IF(AND(BI11&gt;10%,BI11&lt;30%),1,0)</f>
        <v>0</v>
      </c>
      <c r="BL11" s="105">
        <f t="shared" ref="BL11:BL41" si="30">IF(AND(BI11&gt;30%,BI11&lt;70%),1,0)</f>
        <v>1</v>
      </c>
      <c r="BM11" s="105">
        <f t="shared" ref="BM11:BM41" si="31">IF(AND(BI11&gt;70%,BI11&lt;90%),1,0)</f>
        <v>0</v>
      </c>
      <c r="BN11" s="7">
        <f t="shared" ref="BN11:BN41" si="32">IF(($BI11&gt;=90%),1,0)</f>
        <v>0</v>
      </c>
      <c r="BP11" s="104">
        <f t="shared" ref="BP11:BP41" si="33">(BG11+L11)/(J11-T11)</f>
        <v>0.3165168444963628</v>
      </c>
      <c r="BQ11" s="7">
        <f t="shared" ref="BQ11:BQ41" si="34">IF(($BP11&lt;=4.9%),1,0)</f>
        <v>0</v>
      </c>
      <c r="BR11" s="105">
        <f t="shared" ref="BR11:BR41" si="35">IF(AND(BP11&gt;5%,BP11&lt;19.9%),1,0)</f>
        <v>0</v>
      </c>
      <c r="BS11" s="105">
        <f t="shared" ref="BS11:BS41" si="36">IF(AND(BP11&gt;20%,BP11&lt;49.9%),1,0)</f>
        <v>1</v>
      </c>
      <c r="BT11" s="105">
        <f t="shared" ref="BT11:BT41" si="37">IF(AND(BP11&gt;50%,BP11&lt;89.9%),1,0)</f>
        <v>0</v>
      </c>
      <c r="BU11" s="7">
        <f t="shared" ref="BU11:BU41" si="38">IF((BP11&gt;=90%),1,0)</f>
        <v>0</v>
      </c>
    </row>
    <row r="12" spans="1:73" x14ac:dyDescent="0.25">
      <c r="A12" s="106" t="s">
        <v>80</v>
      </c>
      <c r="B12" s="76">
        <v>41000</v>
      </c>
      <c r="C12" s="76">
        <v>23328.533350000002</v>
      </c>
      <c r="D12" s="76">
        <v>32000</v>
      </c>
      <c r="E12" s="77">
        <f t="shared" si="13"/>
        <v>0.74102813715737148</v>
      </c>
      <c r="F12" s="78">
        <f t="shared" si="14"/>
        <v>1</v>
      </c>
      <c r="G12" s="79"/>
      <c r="H12" s="80">
        <f t="shared" si="0"/>
        <v>1</v>
      </c>
      <c r="I12" s="76">
        <v>35000</v>
      </c>
      <c r="J12" s="81">
        <v>1154477.03492</v>
      </c>
      <c r="K12" s="82">
        <v>874154.03492000001</v>
      </c>
      <c r="L12" s="76">
        <v>89862</v>
      </c>
      <c r="M12" s="83">
        <v>0</v>
      </c>
      <c r="N12" s="77">
        <f t="shared" si="15"/>
        <v>0.18376465523125468</v>
      </c>
      <c r="O12" s="78">
        <f t="shared" si="1"/>
        <v>1</v>
      </c>
      <c r="P12" s="79"/>
      <c r="Q12" s="80">
        <f t="shared" si="2"/>
        <v>1</v>
      </c>
      <c r="R12" s="108">
        <v>2993</v>
      </c>
      <c r="S12" s="76">
        <v>1177805.5682699999</v>
      </c>
      <c r="T12" s="86">
        <v>408285.38443000003</v>
      </c>
      <c r="U12" s="77">
        <f t="shared" si="3"/>
        <v>3.8894366422782623E-3</v>
      </c>
      <c r="V12" s="78">
        <f t="shared" si="4"/>
        <v>1</v>
      </c>
      <c r="W12" s="79"/>
      <c r="X12" s="80">
        <f t="shared" si="16"/>
        <v>1</v>
      </c>
      <c r="Y12" s="76">
        <f t="shared" si="17"/>
        <v>23328.533350000002</v>
      </c>
      <c r="Z12" s="88"/>
      <c r="AA12" s="88">
        <v>14328.53335</v>
      </c>
      <c r="AB12" s="89"/>
      <c r="AC12" s="89">
        <f t="shared" si="5"/>
        <v>1154477.03492</v>
      </c>
      <c r="AD12" s="89">
        <f t="shared" si="5"/>
        <v>874154.03492000001</v>
      </c>
      <c r="AE12" s="88">
        <f t="shared" si="5"/>
        <v>89862</v>
      </c>
      <c r="AF12" s="89">
        <f t="shared" si="18"/>
        <v>190461</v>
      </c>
      <c r="AG12" s="89">
        <f t="shared" si="6"/>
        <v>19046.100000000002</v>
      </c>
      <c r="AH12" s="89">
        <f t="shared" si="7"/>
        <v>33374.633350000004</v>
      </c>
      <c r="AI12" s="90">
        <f t="shared" si="8"/>
        <v>4.7253768488036932E-2</v>
      </c>
      <c r="AJ12" s="91">
        <f t="shared" si="19"/>
        <v>1.5</v>
      </c>
      <c r="AK12" s="79"/>
      <c r="AL12" s="80">
        <f t="shared" si="9"/>
        <v>1.5</v>
      </c>
      <c r="AM12" s="94">
        <v>26551.3</v>
      </c>
      <c r="AN12" s="92">
        <v>28960.6</v>
      </c>
      <c r="AO12" s="111">
        <f t="shared" si="10"/>
        <v>0.9168076628246653</v>
      </c>
      <c r="AP12" s="96">
        <f t="shared" si="20"/>
        <v>1</v>
      </c>
      <c r="AQ12" s="79"/>
      <c r="AR12" s="97">
        <f t="shared" si="21"/>
        <v>1</v>
      </c>
      <c r="AS12" s="94">
        <v>58095.8</v>
      </c>
      <c r="AT12" s="92">
        <v>66212.3</v>
      </c>
      <c r="AU12" s="112">
        <f t="shared" si="22"/>
        <v>0.87741703580754637</v>
      </c>
      <c r="AV12" s="96">
        <f t="shared" si="23"/>
        <v>1</v>
      </c>
      <c r="AW12" s="79"/>
      <c r="AX12" s="97">
        <f t="shared" si="11"/>
        <v>1</v>
      </c>
      <c r="AY12" s="98"/>
      <c r="AZ12" s="99">
        <f t="shared" si="24"/>
        <v>0</v>
      </c>
      <c r="BA12" s="100">
        <f t="shared" si="25"/>
        <v>0</v>
      </c>
      <c r="BB12" s="98"/>
      <c r="BC12" s="99"/>
      <c r="BD12" s="100">
        <f t="shared" si="26"/>
        <v>0</v>
      </c>
      <c r="BE12" s="109">
        <f t="shared" si="27"/>
        <v>6.5</v>
      </c>
      <c r="BF12" s="110"/>
      <c r="BG12" s="103">
        <v>11194.516</v>
      </c>
      <c r="BI12" s="104">
        <f t="shared" si="12"/>
        <v>0.74475592178640648</v>
      </c>
      <c r="BJ12" s="7">
        <f t="shared" si="28"/>
        <v>0</v>
      </c>
      <c r="BK12" s="105">
        <f t="shared" si="29"/>
        <v>0</v>
      </c>
      <c r="BL12" s="105">
        <f t="shared" si="30"/>
        <v>0</v>
      </c>
      <c r="BM12" s="105">
        <f t="shared" si="31"/>
        <v>1</v>
      </c>
      <c r="BN12" s="7">
        <f t="shared" si="32"/>
        <v>0</v>
      </c>
      <c r="BP12" s="104">
        <f t="shared" si="33"/>
        <v>0.13542970620703068</v>
      </c>
      <c r="BQ12" s="7">
        <f t="shared" si="34"/>
        <v>0</v>
      </c>
      <c r="BR12" s="105">
        <f t="shared" si="35"/>
        <v>1</v>
      </c>
      <c r="BS12" s="105">
        <f t="shared" si="36"/>
        <v>0</v>
      </c>
      <c r="BT12" s="105">
        <f t="shared" si="37"/>
        <v>0</v>
      </c>
      <c r="BU12" s="7">
        <f t="shared" si="38"/>
        <v>0</v>
      </c>
    </row>
    <row r="13" spans="1:73" s="9" customFormat="1" x14ac:dyDescent="0.25">
      <c r="A13" s="113" t="s">
        <v>81</v>
      </c>
      <c r="B13" s="76">
        <v>7000</v>
      </c>
      <c r="C13" s="76">
        <v>7968.9337400000004</v>
      </c>
      <c r="D13" s="76">
        <v>7000</v>
      </c>
      <c r="E13" s="84">
        <f t="shared" si="13"/>
        <v>0.46763517840249319</v>
      </c>
      <c r="F13" s="78">
        <f t="shared" si="14"/>
        <v>1</v>
      </c>
      <c r="G13" s="92"/>
      <c r="H13" s="93">
        <f t="shared" si="0"/>
        <v>1</v>
      </c>
      <c r="I13" s="76">
        <v>7000</v>
      </c>
      <c r="J13" s="81">
        <v>345657.24076000002</v>
      </c>
      <c r="K13" s="82">
        <v>227989.08575999999</v>
      </c>
      <c r="L13" s="76">
        <v>45862</v>
      </c>
      <c r="M13" s="76">
        <v>0</v>
      </c>
      <c r="N13" s="84">
        <f t="shared" si="15"/>
        <v>9.7484679412231406E-2</v>
      </c>
      <c r="O13" s="78">
        <f t="shared" si="1"/>
        <v>1</v>
      </c>
      <c r="P13" s="92"/>
      <c r="Q13" s="93">
        <f t="shared" si="2"/>
        <v>1</v>
      </c>
      <c r="R13" s="108">
        <v>584.71037999999999</v>
      </c>
      <c r="S13" s="76">
        <v>353626.17450000002</v>
      </c>
      <c r="T13" s="86">
        <v>135500.70934</v>
      </c>
      <c r="U13" s="84">
        <f t="shared" si="3"/>
        <v>2.6806149367800845E-3</v>
      </c>
      <c r="V13" s="78">
        <f t="shared" si="4"/>
        <v>1</v>
      </c>
      <c r="W13" s="92"/>
      <c r="X13" s="93">
        <f t="shared" si="16"/>
        <v>1</v>
      </c>
      <c r="Y13" s="76">
        <f t="shared" si="17"/>
        <v>7968.9337400000004</v>
      </c>
      <c r="Z13" s="88"/>
      <c r="AA13" s="88">
        <v>7968.9337400000004</v>
      </c>
      <c r="AB13" s="88"/>
      <c r="AC13" s="88">
        <f t="shared" si="5"/>
        <v>345657.24076000002</v>
      </c>
      <c r="AD13" s="88">
        <f t="shared" si="5"/>
        <v>227989.08575999999</v>
      </c>
      <c r="AE13" s="88">
        <f t="shared" si="5"/>
        <v>45862</v>
      </c>
      <c r="AF13" s="88">
        <f t="shared" si="18"/>
        <v>71806.155000000028</v>
      </c>
      <c r="AG13" s="89">
        <f>AF13*5%</f>
        <v>3590.3077500000018</v>
      </c>
      <c r="AH13" s="88">
        <f t="shared" si="7"/>
        <v>11559.241490000002</v>
      </c>
      <c r="AI13" s="112">
        <f t="shared" si="8"/>
        <v>0</v>
      </c>
      <c r="AJ13" s="91">
        <f t="shared" si="19"/>
        <v>1.5</v>
      </c>
      <c r="AK13" s="114"/>
      <c r="AL13" s="93">
        <f t="shared" si="9"/>
        <v>1.5</v>
      </c>
      <c r="AM13" s="94">
        <v>10948.2</v>
      </c>
      <c r="AN13" s="92">
        <v>11443.4</v>
      </c>
      <c r="AO13" s="111">
        <f t="shared" si="10"/>
        <v>0.95672614782319954</v>
      </c>
      <c r="AP13" s="96">
        <f t="shared" si="20"/>
        <v>1</v>
      </c>
      <c r="AQ13" s="114"/>
      <c r="AR13" s="115">
        <f t="shared" si="21"/>
        <v>1</v>
      </c>
      <c r="AS13" s="94">
        <v>26969.1</v>
      </c>
      <c r="AT13" s="92">
        <v>27709.599999999999</v>
      </c>
      <c r="AU13" s="112">
        <f t="shared" si="22"/>
        <v>0.9732764096197708</v>
      </c>
      <c r="AV13" s="96">
        <f t="shared" si="23"/>
        <v>1</v>
      </c>
      <c r="AW13" s="114"/>
      <c r="AX13" s="115">
        <f t="shared" si="11"/>
        <v>1</v>
      </c>
      <c r="AY13" s="98"/>
      <c r="AZ13" s="99">
        <f t="shared" si="24"/>
        <v>0</v>
      </c>
      <c r="BA13" s="100">
        <f t="shared" si="25"/>
        <v>0</v>
      </c>
      <c r="BB13" s="98"/>
      <c r="BC13" s="99"/>
      <c r="BD13" s="100">
        <f t="shared" si="26"/>
        <v>0</v>
      </c>
      <c r="BE13" s="109">
        <f t="shared" si="27"/>
        <v>6.5</v>
      </c>
      <c r="BF13" s="110"/>
      <c r="BG13" s="103">
        <v>28656.571</v>
      </c>
      <c r="BH13" s="7"/>
      <c r="BI13" s="104">
        <f t="shared" si="12"/>
        <v>0.65832061218932725</v>
      </c>
      <c r="BJ13" s="7">
        <f t="shared" si="28"/>
        <v>0</v>
      </c>
      <c r="BK13" s="105">
        <f t="shared" si="29"/>
        <v>0</v>
      </c>
      <c r="BL13" s="105">
        <f t="shared" si="30"/>
        <v>1</v>
      </c>
      <c r="BM13" s="105">
        <f t="shared" si="31"/>
        <v>0</v>
      </c>
      <c r="BN13" s="7">
        <f t="shared" si="32"/>
        <v>0</v>
      </c>
      <c r="BP13" s="104">
        <f t="shared" si="33"/>
        <v>0.35458603402182087</v>
      </c>
      <c r="BQ13" s="7">
        <f t="shared" si="34"/>
        <v>0</v>
      </c>
      <c r="BR13" s="105">
        <f t="shared" si="35"/>
        <v>0</v>
      </c>
      <c r="BS13" s="105">
        <f t="shared" si="36"/>
        <v>1</v>
      </c>
      <c r="BT13" s="105">
        <f t="shared" si="37"/>
        <v>0</v>
      </c>
      <c r="BU13" s="7">
        <f t="shared" si="38"/>
        <v>0</v>
      </c>
    </row>
    <row r="14" spans="1:73" x14ac:dyDescent="0.25">
      <c r="A14" s="106" t="s">
        <v>82</v>
      </c>
      <c r="B14" s="116">
        <v>19500</v>
      </c>
      <c r="C14" s="116">
        <v>4652.1915499999996</v>
      </c>
      <c r="D14" s="116">
        <v>19500</v>
      </c>
      <c r="E14" s="84">
        <f>IF(AND(B14=0,D14=0),0,B14/(IF(C14&gt;0,C14,0)+D14))</f>
        <v>0.80738014849008599</v>
      </c>
      <c r="F14" s="78">
        <f>IF(E14&lt;=1.05,1,0)</f>
        <v>1</v>
      </c>
      <c r="G14" s="79"/>
      <c r="H14" s="80">
        <f>F14+G14</f>
        <v>1</v>
      </c>
      <c r="I14" s="76">
        <v>30972.775000000001</v>
      </c>
      <c r="J14" s="117">
        <v>258930.50478999998</v>
      </c>
      <c r="K14" s="82">
        <v>167168.00478999998</v>
      </c>
      <c r="L14" s="76">
        <v>37311</v>
      </c>
      <c r="M14" s="116">
        <v>0</v>
      </c>
      <c r="N14" s="84">
        <f>(I14-M14)/(J14-K14-L14)</f>
        <v>0.56881399043185221</v>
      </c>
      <c r="O14" s="78">
        <f>IF(N14&lt;=1,1,0)</f>
        <v>1</v>
      </c>
      <c r="P14" s="79"/>
      <c r="Q14" s="80">
        <f>O14+P14</f>
        <v>1</v>
      </c>
      <c r="R14" s="118">
        <v>1811.6220000000001</v>
      </c>
      <c r="S14" s="116">
        <v>263582.69634000002</v>
      </c>
      <c r="T14" s="86">
        <v>90550.02698000001</v>
      </c>
      <c r="U14" s="77">
        <f>R14/(S14-T14)</f>
        <v>1.0469826343780565E-2</v>
      </c>
      <c r="V14" s="78">
        <f>IF(U14&lt;=0.15,1,0)</f>
        <v>1</v>
      </c>
      <c r="W14" s="79"/>
      <c r="X14" s="80">
        <f>V14+W14</f>
        <v>1</v>
      </c>
      <c r="Y14" s="116">
        <f>C14</f>
        <v>4652.1915499999996</v>
      </c>
      <c r="Z14" s="89"/>
      <c r="AA14" s="89">
        <v>4652.1915499999996</v>
      </c>
      <c r="AB14" s="89"/>
      <c r="AC14" s="89">
        <f t="shared" si="5"/>
        <v>258930.50478999998</v>
      </c>
      <c r="AD14" s="89">
        <f t="shared" si="5"/>
        <v>167168.00478999998</v>
      </c>
      <c r="AE14" s="88">
        <f t="shared" si="5"/>
        <v>37311</v>
      </c>
      <c r="AF14" s="89">
        <f>AC14-AD14-AE14</f>
        <v>54451.5</v>
      </c>
      <c r="AG14" s="89">
        <f>AF14*10%</f>
        <v>5445.1500000000005</v>
      </c>
      <c r="AH14" s="89">
        <f>IF(AA14&gt;0,AA14,0)+AG14+IF(AB14&gt;0,AB14,0)</f>
        <v>10097.341550000001</v>
      </c>
      <c r="AI14" s="119">
        <f>IF((Y14-IF(Z14&gt;0,Z14,0)-IF(AA14&gt;0,AA14,0)-IF(AB14&gt;0,AB14,0))/(AC14-AD14-AE14)&gt;0,(Y14-IF(Z14&gt;0,Z14,0)-IF(AA14&gt;0,AA14,0)-IF(AB14&gt;0,AB14,0))/(AC14-AD14-AE14),0)</f>
        <v>0</v>
      </c>
      <c r="AJ14" s="91">
        <f>IF(AI14&lt;=0.1,1.5,0)</f>
        <v>1.5</v>
      </c>
      <c r="AK14" s="79"/>
      <c r="AL14" s="80">
        <f>AJ14+AK14</f>
        <v>1.5</v>
      </c>
      <c r="AM14" s="120">
        <v>9894.2000000000007</v>
      </c>
      <c r="AN14" s="79">
        <v>11443.4</v>
      </c>
      <c r="AO14" s="95">
        <f>AM14/AN14</f>
        <v>0.86462065470052618</v>
      </c>
      <c r="AP14" s="96">
        <f>IF(AO14&lt;=1,1,0)</f>
        <v>1</v>
      </c>
      <c r="AQ14" s="79"/>
      <c r="AR14" s="97">
        <f>AP14+AQ14</f>
        <v>1</v>
      </c>
      <c r="AS14" s="120">
        <v>26804</v>
      </c>
      <c r="AT14" s="79">
        <v>27709.599999999999</v>
      </c>
      <c r="AU14" s="90">
        <f>AS14/AT14</f>
        <v>0.96731818575511741</v>
      </c>
      <c r="AV14" s="96">
        <f>IF(AU14&lt;=1,1,0)</f>
        <v>1</v>
      </c>
      <c r="AW14" s="79"/>
      <c r="AX14" s="97">
        <f>AV14+AW14</f>
        <v>1</v>
      </c>
      <c r="AY14" s="98"/>
      <c r="AZ14" s="99">
        <f>IF(AY14="да",2,0)</f>
        <v>0</v>
      </c>
      <c r="BA14" s="100">
        <f>AZ14</f>
        <v>0</v>
      </c>
      <c r="BB14" s="98"/>
      <c r="BC14" s="99"/>
      <c r="BD14" s="100">
        <f>BC14</f>
        <v>0</v>
      </c>
      <c r="BE14" s="121">
        <f>H14+Q14+X14+AL14+AR14+AX14+BA14+BD14</f>
        <v>6.5</v>
      </c>
      <c r="BF14" s="122"/>
      <c r="BG14" s="103">
        <v>27677.721000000001</v>
      </c>
      <c r="BI14" s="104">
        <f>(AD14+AE14-T14)/(AC14-T14)</f>
        <v>0.67661631141442125</v>
      </c>
      <c r="BJ14" s="7">
        <f>IF(($BI14&lt;=10%),1,0)</f>
        <v>0</v>
      </c>
      <c r="BK14" s="105">
        <f>IF(AND(BI14&gt;10%,BI14&lt;30%),1,0)</f>
        <v>0</v>
      </c>
      <c r="BL14" s="105">
        <f>IF(AND(BI14&gt;30%,BI14&lt;70%),1,0)</f>
        <v>1</v>
      </c>
      <c r="BM14" s="105">
        <f>IF(AND(BI14&gt;70%,BI14&lt;90%),1,0)</f>
        <v>0</v>
      </c>
      <c r="BN14" s="7">
        <f>IF(($BI14&gt;=90%),1,0)</f>
        <v>0</v>
      </c>
      <c r="BP14" s="104">
        <f>(BG14+L14)/(J14-T14)</f>
        <v>0.38596351456689115</v>
      </c>
      <c r="BQ14" s="7">
        <f>IF(($BP14&lt;=4.9%),1,0)</f>
        <v>0</v>
      </c>
      <c r="BR14" s="105">
        <f>IF(AND(BP14&gt;5%,BP14&lt;19.9%),1,0)</f>
        <v>0</v>
      </c>
      <c r="BS14" s="105">
        <f>IF(AND(BP14&gt;20%,BP14&lt;49.9%),1,0)</f>
        <v>1</v>
      </c>
      <c r="BT14" s="105">
        <f>IF(AND(BP14&gt;50%,BP14&lt;89.9%),1,0)</f>
        <v>0</v>
      </c>
      <c r="BU14" s="7">
        <f>IF((BP14&gt;=90%),1,0)</f>
        <v>0</v>
      </c>
    </row>
    <row r="15" spans="1:73" x14ac:dyDescent="0.25">
      <c r="A15" s="106" t="s">
        <v>83</v>
      </c>
      <c r="B15" s="116">
        <v>30972.775000000001</v>
      </c>
      <c r="C15" s="116">
        <v>764.1234300000001</v>
      </c>
      <c r="D15" s="116">
        <v>30972.775000000001</v>
      </c>
      <c r="E15" s="77">
        <f>IF(AND(B15=0,D15=0),0,B15/(IF(C15&gt;0,C15,0)+D15))</f>
        <v>0.97592318506846609</v>
      </c>
      <c r="F15" s="78">
        <f>IF(E15&lt;=1.05,1,0)</f>
        <v>1</v>
      </c>
      <c r="G15" s="79"/>
      <c r="H15" s="80">
        <f>F15+G15</f>
        <v>1</v>
      </c>
      <c r="I15" s="76">
        <v>19500</v>
      </c>
      <c r="J15" s="117">
        <v>584377.46083</v>
      </c>
      <c r="K15" s="82">
        <v>457169.28683</v>
      </c>
      <c r="L15" s="76">
        <v>37701</v>
      </c>
      <c r="M15" s="116">
        <v>0</v>
      </c>
      <c r="N15" s="77">
        <f>(I15-M15)/(J15-K15-L15)</f>
        <v>0.21785963212289552</v>
      </c>
      <c r="O15" s="78">
        <f>IF(N15&lt;=1,1,0)</f>
        <v>1</v>
      </c>
      <c r="P15" s="79"/>
      <c r="Q15" s="80">
        <f>O15+P15</f>
        <v>1</v>
      </c>
      <c r="R15" s="123">
        <v>2630.7510000000002</v>
      </c>
      <c r="S15" s="116">
        <v>585141.58426000003</v>
      </c>
      <c r="T15" s="86">
        <v>138620.04194</v>
      </c>
      <c r="U15" s="77">
        <f>R15/(S15-T15)</f>
        <v>5.891655274527988E-3</v>
      </c>
      <c r="V15" s="78">
        <f>IF(U15&lt;=0.15,1,0)</f>
        <v>1</v>
      </c>
      <c r="W15" s="79"/>
      <c r="X15" s="80">
        <f>V15+W15</f>
        <v>1</v>
      </c>
      <c r="Y15" s="116">
        <f>C15</f>
        <v>764.1234300000001</v>
      </c>
      <c r="Z15" s="89"/>
      <c r="AA15" s="89">
        <v>764.1234300000001</v>
      </c>
      <c r="AB15" s="89"/>
      <c r="AC15" s="89">
        <f t="shared" si="5"/>
        <v>584377.46083</v>
      </c>
      <c r="AD15" s="89">
        <f t="shared" si="5"/>
        <v>457169.28683</v>
      </c>
      <c r="AE15" s="88">
        <f t="shared" si="5"/>
        <v>37701</v>
      </c>
      <c r="AF15" s="89">
        <f>AC15-AD15-AE15</f>
        <v>89507.173999999999</v>
      </c>
      <c r="AG15" s="89">
        <f>AF15*10%</f>
        <v>8950.7173999999995</v>
      </c>
      <c r="AH15" s="89">
        <f>IF(AA15&gt;0,AA15,0)+AG15+IF(AB15&gt;0,AB15,0)</f>
        <v>9714.8408299999992</v>
      </c>
      <c r="AI15" s="112">
        <f>IF((Y15-IF(Z15&gt;0,Z15,0)-IF(AA15&gt;0,AA15,0)-IF(AB15&gt;0,AB15,0))/(AC15-AD15-AE15)&gt;0,(Y15-IF(Z15&gt;0,Z15,0)-IF(AA15&gt;0,AA15,0)-IF(AB15&gt;0,AB15,0))/(AC15-AD15-AE15),0)</f>
        <v>0</v>
      </c>
      <c r="AJ15" s="91">
        <f>IF(AI15&lt;=0.1,1.5,0)</f>
        <v>1.5</v>
      </c>
      <c r="AK15" s="79"/>
      <c r="AL15" s="80">
        <f>AJ15+AK15</f>
        <v>1.5</v>
      </c>
      <c r="AM15" s="120">
        <v>10047</v>
      </c>
      <c r="AN15" s="79">
        <v>11443.4</v>
      </c>
      <c r="AO15" s="95">
        <f>AM15/AN15</f>
        <v>0.87797332960483776</v>
      </c>
      <c r="AP15" s="96">
        <f>IF(AO15&lt;=1,1,0)</f>
        <v>1</v>
      </c>
      <c r="AQ15" s="79"/>
      <c r="AR15" s="97">
        <f>AP15+AQ15</f>
        <v>1</v>
      </c>
      <c r="AS15" s="120">
        <v>23922.1</v>
      </c>
      <c r="AT15" s="79">
        <v>27709.599999999999</v>
      </c>
      <c r="AU15" s="90">
        <f>AS15/AT15</f>
        <v>0.86331451915581603</v>
      </c>
      <c r="AV15" s="96">
        <f>IF(AU15&lt;=1,1,0)</f>
        <v>1</v>
      </c>
      <c r="AW15" s="79"/>
      <c r="AX15" s="97">
        <f>AV15+AW15</f>
        <v>1</v>
      </c>
      <c r="AY15" s="98"/>
      <c r="AZ15" s="99">
        <f>IF(AY15="да",2,0)</f>
        <v>0</v>
      </c>
      <c r="BA15" s="100">
        <f>AZ15</f>
        <v>0</v>
      </c>
      <c r="BB15" s="98"/>
      <c r="BC15" s="99"/>
      <c r="BD15" s="100">
        <f>BC15</f>
        <v>0</v>
      </c>
      <c r="BE15" s="109">
        <f>H15+Q15+X15+AL15+AR15+AX15+BA15+BD15</f>
        <v>6.5</v>
      </c>
      <c r="BF15" s="110"/>
      <c r="BG15" s="103">
        <v>5782.7110000000002</v>
      </c>
      <c r="BI15" s="104">
        <f>(AD15+AE15-T15)/(AC15-T15)</f>
        <v>0.79920205428574642</v>
      </c>
      <c r="BJ15" s="7">
        <f>IF(($BI15&lt;=10%),1,0)</f>
        <v>0</v>
      </c>
      <c r="BK15" s="105">
        <f>IF(AND(BI15&gt;10%,BI15&lt;30%),1,0)</f>
        <v>0</v>
      </c>
      <c r="BL15" s="105">
        <f>IF(AND(BI15&gt;30%,BI15&lt;70%),1,0)</f>
        <v>0</v>
      </c>
      <c r="BM15" s="105">
        <f>IF(AND(BI15&gt;70%,BI15&lt;90%),1,0)</f>
        <v>1</v>
      </c>
      <c r="BN15" s="7">
        <f>IF(($BI15&gt;=90%),1,0)</f>
        <v>0</v>
      </c>
      <c r="BP15" s="104">
        <f>(BG15+L15)/(J15-T15)</f>
        <v>9.7550167775739313E-2</v>
      </c>
      <c r="BQ15" s="7">
        <f>IF(($BP15&lt;=4.9%),1,0)</f>
        <v>0</v>
      </c>
      <c r="BR15" s="105">
        <f>IF(AND(BP15&gt;5%,BP15&lt;19.9%),1,0)</f>
        <v>1</v>
      </c>
      <c r="BS15" s="105">
        <f>IF(AND(BP15&gt;20%,BP15&lt;49.9%),1,0)</f>
        <v>0</v>
      </c>
      <c r="BT15" s="105">
        <f>IF(AND(BP15&gt;50%,BP15&lt;89.9%),1,0)</f>
        <v>0</v>
      </c>
      <c r="BU15" s="7">
        <f>IF((BP15&gt;=90%),1,0)</f>
        <v>0</v>
      </c>
    </row>
    <row r="16" spans="1:73" s="9" customFormat="1" x14ac:dyDescent="0.25">
      <c r="A16" s="124" t="s">
        <v>84</v>
      </c>
      <c r="B16" s="125">
        <v>0</v>
      </c>
      <c r="C16" s="125">
        <v>3298.9352400000002</v>
      </c>
      <c r="D16" s="125">
        <v>0</v>
      </c>
      <c r="E16" s="126">
        <f t="shared" si="13"/>
        <v>0</v>
      </c>
      <c r="F16" s="127"/>
      <c r="G16" s="128">
        <f>IF(E16&lt;=1.05,1,0)</f>
        <v>1</v>
      </c>
      <c r="H16" s="129">
        <f t="shared" si="0"/>
        <v>1</v>
      </c>
      <c r="I16" s="125">
        <v>0</v>
      </c>
      <c r="J16" s="130">
        <v>314816.57101000001</v>
      </c>
      <c r="K16" s="131">
        <v>229422.12401</v>
      </c>
      <c r="L16" s="125">
        <v>60017</v>
      </c>
      <c r="M16" s="125">
        <v>0</v>
      </c>
      <c r="N16" s="126">
        <f t="shared" si="15"/>
        <v>0</v>
      </c>
      <c r="O16" s="127"/>
      <c r="P16" s="128">
        <f>IF(N16&lt;=0.5,1,0)</f>
        <v>1</v>
      </c>
      <c r="Q16" s="129">
        <f t="shared" si="2"/>
        <v>1</v>
      </c>
      <c r="R16" s="132">
        <v>0</v>
      </c>
      <c r="S16" s="125">
        <v>318115.50624999998</v>
      </c>
      <c r="T16" s="133">
        <v>135313.02634000001</v>
      </c>
      <c r="U16" s="126">
        <f t="shared" si="3"/>
        <v>0</v>
      </c>
      <c r="V16" s="127"/>
      <c r="W16" s="128">
        <f>IF(U16&lt;=0.15,1,0)</f>
        <v>1</v>
      </c>
      <c r="X16" s="129">
        <f t="shared" si="16"/>
        <v>1</v>
      </c>
      <c r="Y16" s="125">
        <f t="shared" si="17"/>
        <v>3298.9352400000002</v>
      </c>
      <c r="Z16" s="134"/>
      <c r="AA16" s="134">
        <v>3298.9352400000002</v>
      </c>
      <c r="AB16" s="134"/>
      <c r="AC16" s="134">
        <f t="shared" si="5"/>
        <v>314816.57101000001</v>
      </c>
      <c r="AD16" s="134">
        <f t="shared" si="5"/>
        <v>229422.12401</v>
      </c>
      <c r="AE16" s="134">
        <f t="shared" si="5"/>
        <v>60017</v>
      </c>
      <c r="AF16" s="134">
        <f t="shared" si="18"/>
        <v>25377.447000000015</v>
      </c>
      <c r="AG16" s="134">
        <f>AF16*5%</f>
        <v>1268.8723500000008</v>
      </c>
      <c r="AH16" s="134">
        <f t="shared" si="7"/>
        <v>4567.8075900000013</v>
      </c>
      <c r="AI16" s="135">
        <f t="shared" si="8"/>
        <v>0</v>
      </c>
      <c r="AJ16" s="136"/>
      <c r="AK16" s="137">
        <f>IF(AI16&lt;=0.05,1.5,0)</f>
        <v>1.5</v>
      </c>
      <c r="AL16" s="129">
        <f t="shared" si="9"/>
        <v>1.5</v>
      </c>
      <c r="AM16" s="138">
        <v>12773</v>
      </c>
      <c r="AN16" s="128">
        <v>14651.6</v>
      </c>
      <c r="AO16" s="139">
        <f t="shared" si="10"/>
        <v>0.87178192142837641</v>
      </c>
      <c r="AP16" s="136"/>
      <c r="AQ16" s="137">
        <f>IF(AO16&lt;=1,1,0)</f>
        <v>1</v>
      </c>
      <c r="AR16" s="140">
        <f t="shared" si="21"/>
        <v>1</v>
      </c>
      <c r="AS16" s="138">
        <v>32089.4</v>
      </c>
      <c r="AT16" s="128">
        <v>36362.9</v>
      </c>
      <c r="AU16" s="135">
        <f t="shared" si="22"/>
        <v>0.88247637014649549</v>
      </c>
      <c r="AV16" s="136"/>
      <c r="AW16" s="137">
        <f>IF(AU16&lt;=1,1,0)</f>
        <v>1</v>
      </c>
      <c r="AX16" s="140">
        <f t="shared" si="11"/>
        <v>1</v>
      </c>
      <c r="AY16" s="98"/>
      <c r="AZ16" s="99">
        <f t="shared" si="24"/>
        <v>0</v>
      </c>
      <c r="BA16" s="100">
        <f t="shared" si="25"/>
        <v>0</v>
      </c>
      <c r="BB16" s="98"/>
      <c r="BC16" s="99"/>
      <c r="BD16" s="100">
        <f t="shared" si="26"/>
        <v>0</v>
      </c>
      <c r="BE16" s="141">
        <f t="shared" si="27"/>
        <v>6.5</v>
      </c>
      <c r="BF16" s="110"/>
      <c r="BG16" s="103">
        <v>41296.51</v>
      </c>
      <c r="BH16" s="7"/>
      <c r="BI16" s="104">
        <f t="shared" si="12"/>
        <v>0.85862425699362099</v>
      </c>
      <c r="BJ16" s="7">
        <f t="shared" si="28"/>
        <v>0</v>
      </c>
      <c r="BK16" s="105">
        <f t="shared" si="29"/>
        <v>0</v>
      </c>
      <c r="BL16" s="105">
        <f t="shared" si="30"/>
        <v>0</v>
      </c>
      <c r="BM16" s="105">
        <f t="shared" si="31"/>
        <v>1</v>
      </c>
      <c r="BN16" s="7">
        <f t="shared" si="32"/>
        <v>0</v>
      </c>
      <c r="BP16" s="104">
        <f t="shared" si="33"/>
        <v>0.56440952286627621</v>
      </c>
      <c r="BQ16" s="7">
        <f t="shared" si="34"/>
        <v>0</v>
      </c>
      <c r="BR16" s="105">
        <f t="shared" si="35"/>
        <v>0</v>
      </c>
      <c r="BS16" s="105">
        <f t="shared" si="36"/>
        <v>0</v>
      </c>
      <c r="BT16" s="105">
        <f t="shared" si="37"/>
        <v>1</v>
      </c>
      <c r="BU16" s="7">
        <f t="shared" si="38"/>
        <v>0</v>
      </c>
    </row>
    <row r="17" spans="1:73" s="9" customFormat="1" x14ac:dyDescent="0.25">
      <c r="A17" s="113" t="s">
        <v>85</v>
      </c>
      <c r="B17" s="76">
        <v>60714.5</v>
      </c>
      <c r="C17" s="76">
        <v>0</v>
      </c>
      <c r="D17" s="76">
        <v>60714.5</v>
      </c>
      <c r="E17" s="84">
        <f t="shared" si="13"/>
        <v>1</v>
      </c>
      <c r="F17" s="78">
        <f t="shared" si="14"/>
        <v>1</v>
      </c>
      <c r="G17" s="92"/>
      <c r="H17" s="93">
        <f t="shared" si="0"/>
        <v>1</v>
      </c>
      <c r="I17" s="76">
        <v>60714.5</v>
      </c>
      <c r="J17" s="81">
        <v>1332592.1562099999</v>
      </c>
      <c r="K17" s="82">
        <v>957809.75621000002</v>
      </c>
      <c r="L17" s="76">
        <v>211867</v>
      </c>
      <c r="M17" s="76">
        <v>0</v>
      </c>
      <c r="N17" s="84">
        <f t="shared" si="15"/>
        <v>0.37267502028660293</v>
      </c>
      <c r="O17" s="78">
        <f t="shared" si="1"/>
        <v>1</v>
      </c>
      <c r="P17" s="92"/>
      <c r="Q17" s="93">
        <f t="shared" si="2"/>
        <v>1</v>
      </c>
      <c r="R17" s="108">
        <v>5474.7788200000005</v>
      </c>
      <c r="S17" s="76">
        <v>1332592.1562099999</v>
      </c>
      <c r="T17" s="86">
        <v>603926.06510000001</v>
      </c>
      <c r="U17" s="84">
        <f t="shared" si="3"/>
        <v>7.5134260902138287E-3</v>
      </c>
      <c r="V17" s="78">
        <f t="shared" si="4"/>
        <v>1</v>
      </c>
      <c r="W17" s="92"/>
      <c r="X17" s="93">
        <f t="shared" si="16"/>
        <v>1</v>
      </c>
      <c r="Y17" s="76">
        <f t="shared" si="17"/>
        <v>0</v>
      </c>
      <c r="Z17" s="88"/>
      <c r="AA17" s="88">
        <v>0</v>
      </c>
      <c r="AB17" s="88"/>
      <c r="AC17" s="88">
        <f t="shared" si="5"/>
        <v>1332592.1562099999</v>
      </c>
      <c r="AD17" s="88">
        <f t="shared" si="5"/>
        <v>957809.75621000002</v>
      </c>
      <c r="AE17" s="88">
        <f t="shared" si="5"/>
        <v>211867</v>
      </c>
      <c r="AF17" s="88">
        <f t="shared" si="18"/>
        <v>162915.39999999991</v>
      </c>
      <c r="AG17" s="89">
        <f t="shared" si="6"/>
        <v>16291.539999999992</v>
      </c>
      <c r="AH17" s="88">
        <f>IF(AA17&gt;0,AA17,0)+AG17+IF(AB17&gt;0,AB17,0)</f>
        <v>16291.539999999992</v>
      </c>
      <c r="AI17" s="112">
        <f t="shared" si="8"/>
        <v>0</v>
      </c>
      <c r="AJ17" s="91">
        <f t="shared" si="19"/>
        <v>1.5</v>
      </c>
      <c r="AK17" s="92"/>
      <c r="AL17" s="93">
        <f t="shared" si="9"/>
        <v>1.5</v>
      </c>
      <c r="AM17" s="94">
        <v>33949.4</v>
      </c>
      <c r="AN17" s="92">
        <v>34833.1</v>
      </c>
      <c r="AO17" s="111">
        <f t="shared" si="10"/>
        <v>0.97463045207001398</v>
      </c>
      <c r="AP17" s="96">
        <f t="shared" si="20"/>
        <v>1</v>
      </c>
      <c r="AQ17" s="92"/>
      <c r="AR17" s="115">
        <f t="shared" si="21"/>
        <v>1</v>
      </c>
      <c r="AS17" s="94">
        <v>86291</v>
      </c>
      <c r="AT17" s="92">
        <v>86692.9</v>
      </c>
      <c r="AU17" s="112">
        <f t="shared" si="22"/>
        <v>0.99536409556030547</v>
      </c>
      <c r="AV17" s="96">
        <f t="shared" si="23"/>
        <v>1</v>
      </c>
      <c r="AW17" s="92"/>
      <c r="AX17" s="115">
        <f t="shared" si="11"/>
        <v>1</v>
      </c>
      <c r="AY17" s="98"/>
      <c r="AZ17" s="99">
        <f>IF(AY17="да",2,0)</f>
        <v>0</v>
      </c>
      <c r="BA17" s="100">
        <f t="shared" si="25"/>
        <v>0</v>
      </c>
      <c r="BB17" s="98"/>
      <c r="BC17" s="99"/>
      <c r="BD17" s="100">
        <f t="shared" si="26"/>
        <v>0</v>
      </c>
      <c r="BE17" s="109">
        <f>H17+Q17+X17+AL17+AR17+AX17+BA17+BD17</f>
        <v>6.5</v>
      </c>
      <c r="BF17" s="110"/>
      <c r="BG17" s="103">
        <v>28012.954000000002</v>
      </c>
      <c r="BH17" s="7"/>
      <c r="BI17" s="104">
        <f t="shared" si="12"/>
        <v>0.7764196770130668</v>
      </c>
      <c r="BJ17" s="7">
        <f t="shared" si="28"/>
        <v>0</v>
      </c>
      <c r="BK17" s="105">
        <f t="shared" si="29"/>
        <v>0</v>
      </c>
      <c r="BL17" s="105">
        <f t="shared" si="30"/>
        <v>0</v>
      </c>
      <c r="BM17" s="105">
        <f t="shared" si="31"/>
        <v>1</v>
      </c>
      <c r="BN17" s="7">
        <f t="shared" si="32"/>
        <v>0</v>
      </c>
      <c r="BP17" s="104">
        <f t="shared" si="33"/>
        <v>0.32920422251923831</v>
      </c>
      <c r="BQ17" s="7">
        <f t="shared" si="34"/>
        <v>0</v>
      </c>
      <c r="BR17" s="105">
        <f t="shared" si="35"/>
        <v>0</v>
      </c>
      <c r="BS17" s="105">
        <f t="shared" si="36"/>
        <v>1</v>
      </c>
      <c r="BT17" s="105">
        <f t="shared" si="37"/>
        <v>0</v>
      </c>
      <c r="BU17" s="7">
        <f t="shared" si="38"/>
        <v>0</v>
      </c>
    </row>
    <row r="18" spans="1:73" s="9" customFormat="1" x14ac:dyDescent="0.25">
      <c r="A18" s="113" t="s">
        <v>86</v>
      </c>
      <c r="B18" s="76">
        <v>0</v>
      </c>
      <c r="C18" s="76">
        <v>0</v>
      </c>
      <c r="D18" s="76">
        <v>0</v>
      </c>
      <c r="E18" s="84">
        <f t="shared" si="13"/>
        <v>0</v>
      </c>
      <c r="F18" s="78">
        <f t="shared" si="14"/>
        <v>1</v>
      </c>
      <c r="G18" s="92"/>
      <c r="H18" s="93">
        <f t="shared" si="0"/>
        <v>1</v>
      </c>
      <c r="I18" s="76">
        <v>0</v>
      </c>
      <c r="J18" s="81">
        <v>383280.97662999999</v>
      </c>
      <c r="K18" s="82">
        <v>251756.97662999999</v>
      </c>
      <c r="L18" s="76">
        <v>45207</v>
      </c>
      <c r="M18" s="76">
        <v>0</v>
      </c>
      <c r="N18" s="84">
        <f t="shared" si="15"/>
        <v>0</v>
      </c>
      <c r="O18" s="78">
        <f>IF(N18&lt;=1,1,0)</f>
        <v>1</v>
      </c>
      <c r="P18" s="92"/>
      <c r="Q18" s="93">
        <f>O18+P18</f>
        <v>1</v>
      </c>
      <c r="R18" s="108">
        <v>0</v>
      </c>
      <c r="S18" s="76">
        <v>383280.97662999999</v>
      </c>
      <c r="T18" s="86">
        <v>176096.62186000001</v>
      </c>
      <c r="U18" s="84">
        <f t="shared" si="3"/>
        <v>0</v>
      </c>
      <c r="V18" s="78">
        <f>IF(U18&lt;=0.15,1,0)</f>
        <v>1</v>
      </c>
      <c r="W18" s="92"/>
      <c r="X18" s="93">
        <f t="shared" si="16"/>
        <v>1</v>
      </c>
      <c r="Y18" s="76">
        <f t="shared" si="17"/>
        <v>0</v>
      </c>
      <c r="Z18" s="88"/>
      <c r="AA18" s="88">
        <v>0</v>
      </c>
      <c r="AB18" s="88"/>
      <c r="AC18" s="88">
        <f t="shared" si="5"/>
        <v>383280.97662999999</v>
      </c>
      <c r="AD18" s="88">
        <f t="shared" si="5"/>
        <v>251756.97662999999</v>
      </c>
      <c r="AE18" s="88">
        <f t="shared" si="5"/>
        <v>45207</v>
      </c>
      <c r="AF18" s="88">
        <f t="shared" si="18"/>
        <v>86317</v>
      </c>
      <c r="AG18" s="89">
        <f t="shared" si="6"/>
        <v>8631.7000000000007</v>
      </c>
      <c r="AH18" s="88">
        <f t="shared" ref="AH18:AH41" si="39">IF(AA18&gt;0,AA18,0)+AG18+IF(AB18&gt;0,AB18,0)</f>
        <v>8631.7000000000007</v>
      </c>
      <c r="AI18" s="112">
        <f t="shared" si="8"/>
        <v>0</v>
      </c>
      <c r="AJ18" s="91">
        <f t="shared" si="19"/>
        <v>1.5</v>
      </c>
      <c r="AK18" s="92"/>
      <c r="AL18" s="93">
        <f t="shared" si="9"/>
        <v>1.5</v>
      </c>
      <c r="AM18" s="94">
        <v>13377.7</v>
      </c>
      <c r="AN18" s="92">
        <v>13609.1</v>
      </c>
      <c r="AO18" s="111">
        <f t="shared" si="10"/>
        <v>0.98299667134490898</v>
      </c>
      <c r="AP18" s="96">
        <f t="shared" si="20"/>
        <v>1</v>
      </c>
      <c r="AQ18" s="92"/>
      <c r="AR18" s="115">
        <f>AP18+AQ18</f>
        <v>1</v>
      </c>
      <c r="AS18" s="94">
        <v>32103.3</v>
      </c>
      <c r="AT18" s="92">
        <v>32254.7</v>
      </c>
      <c r="AU18" s="112">
        <f t="shared" si="22"/>
        <v>0.99530611042731754</v>
      </c>
      <c r="AV18" s="96">
        <f t="shared" si="23"/>
        <v>1</v>
      </c>
      <c r="AW18" s="92"/>
      <c r="AX18" s="115">
        <f t="shared" si="11"/>
        <v>1</v>
      </c>
      <c r="AY18" s="98"/>
      <c r="AZ18" s="99">
        <f t="shared" si="24"/>
        <v>0</v>
      </c>
      <c r="BA18" s="100">
        <f t="shared" si="25"/>
        <v>0</v>
      </c>
      <c r="BB18" s="98"/>
      <c r="BC18" s="99"/>
      <c r="BD18" s="100">
        <f t="shared" si="26"/>
        <v>0</v>
      </c>
      <c r="BE18" s="109">
        <f t="shared" si="27"/>
        <v>6.5</v>
      </c>
      <c r="BF18" s="142"/>
      <c r="BG18" s="103">
        <v>16814.179</v>
      </c>
      <c r="BH18" s="7"/>
      <c r="BI18" s="104">
        <f t="shared" si="12"/>
        <v>0.58338070412786502</v>
      </c>
      <c r="BJ18" s="7">
        <f t="shared" si="28"/>
        <v>0</v>
      </c>
      <c r="BK18" s="105">
        <f t="shared" si="29"/>
        <v>0</v>
      </c>
      <c r="BL18" s="105">
        <f t="shared" si="30"/>
        <v>1</v>
      </c>
      <c r="BM18" s="105">
        <f t="shared" si="31"/>
        <v>0</v>
      </c>
      <c r="BN18" s="7">
        <f t="shared" si="32"/>
        <v>0</v>
      </c>
      <c r="BP18" s="104">
        <f t="shared" si="33"/>
        <v>0.29935261795636603</v>
      </c>
      <c r="BQ18" s="7">
        <f t="shared" si="34"/>
        <v>0</v>
      </c>
      <c r="BR18" s="105">
        <f t="shared" si="35"/>
        <v>0</v>
      </c>
      <c r="BS18" s="105">
        <f t="shared" si="36"/>
        <v>1</v>
      </c>
      <c r="BT18" s="105">
        <f t="shared" si="37"/>
        <v>0</v>
      </c>
      <c r="BU18" s="7">
        <f t="shared" si="38"/>
        <v>0</v>
      </c>
    </row>
    <row r="19" spans="1:73" s="9" customFormat="1" x14ac:dyDescent="0.25">
      <c r="A19" s="124" t="s">
        <v>87</v>
      </c>
      <c r="B19" s="125">
        <v>0</v>
      </c>
      <c r="C19" s="125">
        <v>0</v>
      </c>
      <c r="D19" s="125">
        <v>0</v>
      </c>
      <c r="E19" s="126">
        <f>IF(AND(B19=0,D19=0),0,B19/(IF(C19&gt;0,C19,0)+D19))</f>
        <v>0</v>
      </c>
      <c r="F19" s="127"/>
      <c r="G19" s="128">
        <f>IF(E19&lt;=1.05,1,0)</f>
        <v>1</v>
      </c>
      <c r="H19" s="129">
        <f>F19+G19</f>
        <v>1</v>
      </c>
      <c r="I19" s="125">
        <v>0</v>
      </c>
      <c r="J19" s="130">
        <v>231200.40512000001</v>
      </c>
      <c r="K19" s="131">
        <v>195920.00512000002</v>
      </c>
      <c r="L19" s="125">
        <v>20177</v>
      </c>
      <c r="M19" s="125">
        <v>0</v>
      </c>
      <c r="N19" s="126">
        <f>(I19-M19)/(J19-K19-L19)</f>
        <v>0</v>
      </c>
      <c r="O19" s="127"/>
      <c r="P19" s="128">
        <f>IF(N19&lt;=0.5,1,0)</f>
        <v>1</v>
      </c>
      <c r="Q19" s="129">
        <f>O19+P19</f>
        <v>1</v>
      </c>
      <c r="R19" s="143">
        <v>0</v>
      </c>
      <c r="S19" s="125">
        <v>231200.40512000001</v>
      </c>
      <c r="T19" s="133">
        <v>102423.91385</v>
      </c>
      <c r="U19" s="126">
        <f>R19/(S19-T19)</f>
        <v>0</v>
      </c>
      <c r="V19" s="127"/>
      <c r="W19" s="128">
        <f>IF(U19&lt;=0.15,1,0)</f>
        <v>1</v>
      </c>
      <c r="X19" s="129">
        <f>V19+W19</f>
        <v>1</v>
      </c>
      <c r="Y19" s="125">
        <f>C19</f>
        <v>0</v>
      </c>
      <c r="Z19" s="134"/>
      <c r="AA19" s="134">
        <v>0</v>
      </c>
      <c r="AB19" s="134"/>
      <c r="AC19" s="134">
        <f>J19</f>
        <v>231200.40512000001</v>
      </c>
      <c r="AD19" s="134">
        <f>K19</f>
        <v>195920.00512000002</v>
      </c>
      <c r="AE19" s="134">
        <f>L19</f>
        <v>20177</v>
      </c>
      <c r="AF19" s="134">
        <f>AC19-AD19-AE19</f>
        <v>15103.399999999994</v>
      </c>
      <c r="AG19" s="134">
        <f>AF19*10%</f>
        <v>1510.3399999999995</v>
      </c>
      <c r="AH19" s="134">
        <f>IF(AA19&gt;0,AA19,0)+AG19+IF(AB19&gt;0,AB19,0)</f>
        <v>1510.3399999999995</v>
      </c>
      <c r="AI19" s="135">
        <f>IF((Y19-IF(Z19&gt;0,Z19,0)-IF(AA19&gt;0,AA19,0)-IF(AB19&gt;0,AB19,0))/(AC19-AD19-AE19)&gt;0,(Y19-IF(Z19&gt;0,Z19,0)-IF(AA19&gt;0,AA19,0)-IF(AB19&gt;0,AB19,0))/(AC19-AD19-AE19),0)</f>
        <v>0</v>
      </c>
      <c r="AJ19" s="136"/>
      <c r="AK19" s="137">
        <f>IF(AI19&lt;=0.05,1.5,0)</f>
        <v>1.5</v>
      </c>
      <c r="AL19" s="129">
        <f>AJ19+AK19</f>
        <v>1.5</v>
      </c>
      <c r="AM19" s="138">
        <v>9584.7000000000007</v>
      </c>
      <c r="AN19" s="128">
        <v>13089.6</v>
      </c>
      <c r="AO19" s="139">
        <f>AM19/AN19</f>
        <v>0.73223780711404474</v>
      </c>
      <c r="AP19" s="136"/>
      <c r="AQ19" s="137">
        <f>IF(AO19&lt;=1,1,0)</f>
        <v>1</v>
      </c>
      <c r="AR19" s="140">
        <f>AP19+AQ19</f>
        <v>1</v>
      </c>
      <c r="AS19" s="138">
        <v>24606.400000000001</v>
      </c>
      <c r="AT19" s="128">
        <v>32830.300000000003</v>
      </c>
      <c r="AU19" s="135">
        <f>AS19/AT19</f>
        <v>0.74950274593896493</v>
      </c>
      <c r="AV19" s="136"/>
      <c r="AW19" s="137">
        <f>IF(AU19&lt;=1,1,0)</f>
        <v>1</v>
      </c>
      <c r="AX19" s="140">
        <f>AV19+AW19</f>
        <v>1</v>
      </c>
      <c r="AY19" s="98"/>
      <c r="AZ19" s="99">
        <f>IF(AY19="да",2,0)</f>
        <v>0</v>
      </c>
      <c r="BA19" s="100">
        <f>AZ19</f>
        <v>0</v>
      </c>
      <c r="BB19" s="98"/>
      <c r="BC19" s="99"/>
      <c r="BD19" s="100">
        <f>BC19</f>
        <v>0</v>
      </c>
      <c r="BE19" s="141">
        <f>H19+Q19+X19+AL19+AR19+AX19+BA19+BD19</f>
        <v>6.5</v>
      </c>
      <c r="BF19" s="110"/>
      <c r="BG19" s="144">
        <v>35456.451999999997</v>
      </c>
      <c r="BI19" s="145">
        <f t="shared" si="12"/>
        <v>0.88271617085502541</v>
      </c>
      <c r="BJ19" s="9">
        <f t="shared" si="28"/>
        <v>0</v>
      </c>
      <c r="BK19" s="146">
        <f t="shared" si="29"/>
        <v>0</v>
      </c>
      <c r="BL19" s="146">
        <f t="shared" si="30"/>
        <v>0</v>
      </c>
      <c r="BM19" s="146">
        <f t="shared" si="31"/>
        <v>1</v>
      </c>
      <c r="BN19" s="9">
        <f t="shared" si="32"/>
        <v>0</v>
      </c>
      <c r="BP19" s="145">
        <f t="shared" si="33"/>
        <v>0.43201559113266863</v>
      </c>
      <c r="BQ19" s="9">
        <f t="shared" si="34"/>
        <v>0</v>
      </c>
      <c r="BR19" s="146">
        <f t="shared" si="35"/>
        <v>0</v>
      </c>
      <c r="BS19" s="146">
        <f t="shared" si="36"/>
        <v>1</v>
      </c>
      <c r="BT19" s="146">
        <f t="shared" si="37"/>
        <v>0</v>
      </c>
      <c r="BU19" s="9">
        <f t="shared" si="38"/>
        <v>0</v>
      </c>
    </row>
    <row r="20" spans="1:73" s="9" customFormat="1" x14ac:dyDescent="0.25">
      <c r="A20" s="124" t="s">
        <v>88</v>
      </c>
      <c r="B20" s="125">
        <v>0</v>
      </c>
      <c r="C20" s="125">
        <v>1050.9304099999999</v>
      </c>
      <c r="D20" s="125">
        <v>0</v>
      </c>
      <c r="E20" s="126">
        <f t="shared" si="13"/>
        <v>0</v>
      </c>
      <c r="F20" s="127"/>
      <c r="G20" s="128">
        <f t="shared" ref="G20:G40" si="40">IF(E20&lt;=1.05,1,0)</f>
        <v>1</v>
      </c>
      <c r="H20" s="129">
        <f t="shared" si="0"/>
        <v>1</v>
      </c>
      <c r="I20" s="125">
        <v>0</v>
      </c>
      <c r="J20" s="130">
        <v>324023.92699000001</v>
      </c>
      <c r="K20" s="131">
        <v>230951.92699000001</v>
      </c>
      <c r="L20" s="125">
        <v>50703</v>
      </c>
      <c r="M20" s="125">
        <v>0</v>
      </c>
      <c r="N20" s="126">
        <f t="shared" si="15"/>
        <v>0</v>
      </c>
      <c r="O20" s="127"/>
      <c r="P20" s="128">
        <f t="shared" ref="P20:P40" si="41">IF(N20&lt;=0.5,1,0)</f>
        <v>1</v>
      </c>
      <c r="Q20" s="129">
        <f t="shared" si="2"/>
        <v>1</v>
      </c>
      <c r="R20" s="143">
        <v>0</v>
      </c>
      <c r="S20" s="125">
        <v>325074.85739999998</v>
      </c>
      <c r="T20" s="133">
        <v>144965.24899000002</v>
      </c>
      <c r="U20" s="126">
        <f t="shared" si="3"/>
        <v>0</v>
      </c>
      <c r="V20" s="127"/>
      <c r="W20" s="128">
        <f t="shared" ref="W20:W40" si="42">IF(U20&lt;=0.15,1,0)</f>
        <v>1</v>
      </c>
      <c r="X20" s="129">
        <f t="shared" si="16"/>
        <v>1</v>
      </c>
      <c r="Y20" s="125">
        <f t="shared" si="17"/>
        <v>1050.9304099999999</v>
      </c>
      <c r="Z20" s="134"/>
      <c r="AA20" s="134">
        <v>1050.9304099999999</v>
      </c>
      <c r="AB20" s="134"/>
      <c r="AC20" s="134">
        <f t="shared" si="5"/>
        <v>324023.92699000001</v>
      </c>
      <c r="AD20" s="134">
        <f t="shared" si="5"/>
        <v>230951.92699000001</v>
      </c>
      <c r="AE20" s="134">
        <f t="shared" si="5"/>
        <v>50703</v>
      </c>
      <c r="AF20" s="134">
        <f t="shared" si="18"/>
        <v>42369</v>
      </c>
      <c r="AG20" s="134">
        <f>AF20*10%</f>
        <v>4236.9000000000005</v>
      </c>
      <c r="AH20" s="134">
        <f t="shared" si="39"/>
        <v>5287.8304100000005</v>
      </c>
      <c r="AI20" s="135">
        <f t="shared" si="8"/>
        <v>0</v>
      </c>
      <c r="AJ20" s="136"/>
      <c r="AK20" s="137">
        <f t="shared" ref="AK20:AK35" si="43">IF(AI20&lt;=0.05,1.5,0)</f>
        <v>1.5</v>
      </c>
      <c r="AL20" s="129">
        <f t="shared" si="9"/>
        <v>1.5</v>
      </c>
      <c r="AM20" s="138">
        <v>12766.7</v>
      </c>
      <c r="AN20" s="128">
        <v>14651.6</v>
      </c>
      <c r="AO20" s="139">
        <f t="shared" si="10"/>
        <v>0.87135193425973956</v>
      </c>
      <c r="AP20" s="136"/>
      <c r="AQ20" s="137">
        <f t="shared" ref="AQ20:AQ35" si="44">IF(AO20&lt;=1,1,0)</f>
        <v>1</v>
      </c>
      <c r="AR20" s="140">
        <f t="shared" si="21"/>
        <v>1</v>
      </c>
      <c r="AS20" s="138">
        <v>31776.7</v>
      </c>
      <c r="AT20" s="128">
        <v>36362.9</v>
      </c>
      <c r="AU20" s="135">
        <f t="shared" si="22"/>
        <v>0.87387694600815669</v>
      </c>
      <c r="AV20" s="136"/>
      <c r="AW20" s="137">
        <f t="shared" ref="AW20:AW35" si="45">IF(AU20&lt;=1,1,0)</f>
        <v>1</v>
      </c>
      <c r="AX20" s="140">
        <f t="shared" si="11"/>
        <v>1</v>
      </c>
      <c r="AY20" s="98"/>
      <c r="AZ20" s="99">
        <f t="shared" si="24"/>
        <v>0</v>
      </c>
      <c r="BA20" s="100">
        <f t="shared" si="25"/>
        <v>0</v>
      </c>
      <c r="BB20" s="98"/>
      <c r="BC20" s="99"/>
      <c r="BD20" s="100">
        <f t="shared" si="26"/>
        <v>0</v>
      </c>
      <c r="BE20" s="141">
        <f t="shared" si="27"/>
        <v>6.5</v>
      </c>
      <c r="BF20" s="142"/>
      <c r="BG20" s="103">
        <v>26765.723999999998</v>
      </c>
      <c r="BH20" s="7"/>
      <c r="BI20" s="104">
        <f t="shared" si="12"/>
        <v>0.76337924264134238</v>
      </c>
      <c r="BJ20" s="7">
        <f t="shared" si="28"/>
        <v>0</v>
      </c>
      <c r="BK20" s="105">
        <f t="shared" si="29"/>
        <v>0</v>
      </c>
      <c r="BL20" s="105">
        <f t="shared" si="30"/>
        <v>0</v>
      </c>
      <c r="BM20" s="105">
        <f t="shared" si="31"/>
        <v>1</v>
      </c>
      <c r="BN20" s="7">
        <f t="shared" si="32"/>
        <v>0</v>
      </c>
      <c r="BP20" s="104">
        <f t="shared" si="33"/>
        <v>0.4326443424317028</v>
      </c>
      <c r="BQ20" s="7">
        <f t="shared" si="34"/>
        <v>0</v>
      </c>
      <c r="BR20" s="105">
        <f t="shared" si="35"/>
        <v>0</v>
      </c>
      <c r="BS20" s="105">
        <f t="shared" si="36"/>
        <v>1</v>
      </c>
      <c r="BT20" s="105">
        <f t="shared" si="37"/>
        <v>0</v>
      </c>
      <c r="BU20" s="7">
        <f t="shared" si="38"/>
        <v>0</v>
      </c>
    </row>
    <row r="21" spans="1:73" x14ac:dyDescent="0.25">
      <c r="A21" s="124" t="s">
        <v>89</v>
      </c>
      <c r="B21" s="125">
        <v>25000</v>
      </c>
      <c r="C21" s="125">
        <v>1199.7372600000001</v>
      </c>
      <c r="D21" s="125">
        <v>25000</v>
      </c>
      <c r="E21" s="126">
        <f>IF(AND(B21=0,D21=0),0,B21/(IF(C21&gt;0,C21,0)+D21))</f>
        <v>0.95420804231377998</v>
      </c>
      <c r="F21" s="127"/>
      <c r="G21" s="128">
        <f>IF(E21&lt;=1.05,1,0)</f>
        <v>1</v>
      </c>
      <c r="H21" s="129">
        <f>F21+G21</f>
        <v>1</v>
      </c>
      <c r="I21" s="125">
        <v>25000</v>
      </c>
      <c r="J21" s="130">
        <v>886628.09966999991</v>
      </c>
      <c r="K21" s="131">
        <v>636250.69967</v>
      </c>
      <c r="L21" s="125">
        <v>190397</v>
      </c>
      <c r="M21" s="125">
        <v>0</v>
      </c>
      <c r="N21" s="126">
        <f>(I21-M21)/(J21-K21-L21)</f>
        <v>0.41680282225527071</v>
      </c>
      <c r="O21" s="127"/>
      <c r="P21" s="128">
        <f>IF(N21&lt;=0.5,1,0)</f>
        <v>1</v>
      </c>
      <c r="Q21" s="129">
        <f>O21+P21</f>
        <v>1</v>
      </c>
      <c r="R21" s="143">
        <v>2441.69</v>
      </c>
      <c r="S21" s="125">
        <v>887827.83692999999</v>
      </c>
      <c r="T21" s="133">
        <v>434526.46904</v>
      </c>
      <c r="U21" s="126">
        <f>R21/(S21-T21)</f>
        <v>5.3864606925088975E-3</v>
      </c>
      <c r="V21" s="127"/>
      <c r="W21" s="128">
        <f>IF(U21&lt;=0.15,1,0)</f>
        <v>1</v>
      </c>
      <c r="X21" s="129">
        <f>V21+W21</f>
        <v>1</v>
      </c>
      <c r="Y21" s="125">
        <f>C21</f>
        <v>1199.7372600000001</v>
      </c>
      <c r="Z21" s="134"/>
      <c r="AA21" s="134">
        <v>1199.7372600000001</v>
      </c>
      <c r="AB21" s="134"/>
      <c r="AC21" s="134">
        <f>J21</f>
        <v>886628.09966999991</v>
      </c>
      <c r="AD21" s="134">
        <f>K21</f>
        <v>636250.69967</v>
      </c>
      <c r="AE21" s="134">
        <f>L21</f>
        <v>190397</v>
      </c>
      <c r="AF21" s="134">
        <f>AC21-AD21-AE21</f>
        <v>59980.399999999907</v>
      </c>
      <c r="AG21" s="134">
        <f>AF21*10%</f>
        <v>5998.0399999999909</v>
      </c>
      <c r="AH21" s="134">
        <f>IF(AA21&gt;0,AA21,0)+AG21+IF(AB21&gt;0,AB21,0)</f>
        <v>7197.7772599999907</v>
      </c>
      <c r="AI21" s="135">
        <f>IF((Y21-IF(Z21&gt;0,Z21,0)-IF(AA21&gt;0,AA21,0)-IF(AB21&gt;0,AB21,0))/(AC21-AD21-AE21)&gt;0,(Y21-IF(Z21&gt;0,Z21,0)-IF(AA21&gt;0,AA21,0)-IF(AB21&gt;0,AB21,0))/(AC21-AD21-AE21),0)</f>
        <v>0</v>
      </c>
      <c r="AJ21" s="136"/>
      <c r="AK21" s="137">
        <f>IF(AI21&lt;=0.05,1.5,0)</f>
        <v>1.5</v>
      </c>
      <c r="AL21" s="129">
        <f>AJ21+AK21</f>
        <v>1.5</v>
      </c>
      <c r="AM21" s="138">
        <v>34062.300000000003</v>
      </c>
      <c r="AN21" s="128">
        <v>34833.1</v>
      </c>
      <c r="AO21" s="139">
        <f>AM21/AN21</f>
        <v>0.97787162210655965</v>
      </c>
      <c r="AP21" s="136"/>
      <c r="AQ21" s="137">
        <f>IF(AO21&lt;=1,1,0)</f>
        <v>1</v>
      </c>
      <c r="AR21" s="140">
        <f>AP21+AQ21</f>
        <v>1</v>
      </c>
      <c r="AS21" s="138">
        <v>74414</v>
      </c>
      <c r="AT21" s="128">
        <v>86692.9</v>
      </c>
      <c r="AU21" s="135">
        <f>AS21/AT21</f>
        <v>0.8583632569679871</v>
      </c>
      <c r="AV21" s="136"/>
      <c r="AW21" s="137">
        <f>IF(AU21&lt;=1,1,0)</f>
        <v>1</v>
      </c>
      <c r="AX21" s="140">
        <f>AV21+AW21</f>
        <v>1</v>
      </c>
      <c r="AY21" s="98"/>
      <c r="AZ21" s="99">
        <f>IF(AY21="да",2,0)</f>
        <v>0</v>
      </c>
      <c r="BA21" s="100">
        <f>AZ21</f>
        <v>0</v>
      </c>
      <c r="BB21" s="98"/>
      <c r="BC21" s="99"/>
      <c r="BD21" s="100">
        <f>BC21</f>
        <v>0</v>
      </c>
      <c r="BE21" s="141">
        <f>H21+Q21+X21+AL21+AR21+AX21+BA21+BD21</f>
        <v>6.5</v>
      </c>
      <c r="BF21" s="142"/>
      <c r="BG21" s="103">
        <v>83056.724000000002</v>
      </c>
      <c r="BI21" s="104">
        <f>(AD21+AE21-T21)/(AC21-T21)</f>
        <v>0.86732983042680534</v>
      </c>
      <c r="BJ21" s="7">
        <f>IF(($BI21&lt;=10%),1,0)</f>
        <v>0</v>
      </c>
      <c r="BK21" s="105">
        <f>IF(AND(BI21&gt;10%,BI21&lt;30%),1,0)</f>
        <v>0</v>
      </c>
      <c r="BL21" s="105">
        <f>IF(AND(BI21&gt;30%,BI21&lt;70%),1,0)</f>
        <v>0</v>
      </c>
      <c r="BM21" s="105">
        <f>IF(AND(BI21&gt;70%,BI21&lt;90%),1,0)</f>
        <v>1</v>
      </c>
      <c r="BN21" s="7">
        <f>IF(($BI21&gt;=90%),1,0)</f>
        <v>0</v>
      </c>
      <c r="BP21" s="104">
        <f>(BG21+L21)/(J21-T21)</f>
        <v>0.60485011659644861</v>
      </c>
      <c r="BQ21" s="7">
        <f>IF(($BP21&lt;=4.9%),1,0)</f>
        <v>0</v>
      </c>
      <c r="BR21" s="105">
        <f>IF(AND(BP21&gt;5%,BP21&lt;19.9%),1,0)</f>
        <v>0</v>
      </c>
      <c r="BS21" s="105">
        <f>IF(AND(BP21&gt;20%,BP21&lt;49.9%),1,0)</f>
        <v>0</v>
      </c>
      <c r="BT21" s="105">
        <f>IF(AND(BP21&gt;50%,BP21&lt;89.9%),1,0)</f>
        <v>1</v>
      </c>
      <c r="BU21" s="7">
        <f>IF((BP21&gt;=90%),1,0)</f>
        <v>0</v>
      </c>
    </row>
    <row r="22" spans="1:73" s="9" customFormat="1" x14ac:dyDescent="0.25">
      <c r="A22" s="124" t="s">
        <v>90</v>
      </c>
      <c r="B22" s="125">
        <v>0</v>
      </c>
      <c r="C22" s="125">
        <v>4200.4509800000005</v>
      </c>
      <c r="D22" s="125">
        <v>0</v>
      </c>
      <c r="E22" s="126">
        <f t="shared" si="13"/>
        <v>0</v>
      </c>
      <c r="F22" s="127"/>
      <c r="G22" s="128">
        <f t="shared" si="40"/>
        <v>1</v>
      </c>
      <c r="H22" s="129">
        <f t="shared" si="0"/>
        <v>1</v>
      </c>
      <c r="I22" s="125">
        <v>0</v>
      </c>
      <c r="J22" s="130">
        <v>182656.33047999998</v>
      </c>
      <c r="K22" s="131">
        <v>138137.92147999999</v>
      </c>
      <c r="L22" s="125">
        <v>25944</v>
      </c>
      <c r="M22" s="125">
        <v>0</v>
      </c>
      <c r="N22" s="126">
        <f t="shared" si="15"/>
        <v>0</v>
      </c>
      <c r="O22" s="127"/>
      <c r="P22" s="128">
        <f t="shared" si="41"/>
        <v>1</v>
      </c>
      <c r="Q22" s="129">
        <f t="shared" si="2"/>
        <v>1</v>
      </c>
      <c r="R22" s="143">
        <v>0</v>
      </c>
      <c r="S22" s="125">
        <v>186856.78146</v>
      </c>
      <c r="T22" s="133">
        <v>75323.702810000003</v>
      </c>
      <c r="U22" s="126">
        <f t="shared" si="3"/>
        <v>0</v>
      </c>
      <c r="V22" s="127"/>
      <c r="W22" s="128">
        <f t="shared" si="42"/>
        <v>1</v>
      </c>
      <c r="X22" s="129">
        <f t="shared" si="16"/>
        <v>1</v>
      </c>
      <c r="Y22" s="125">
        <f t="shared" si="17"/>
        <v>4200.4509800000005</v>
      </c>
      <c r="Z22" s="134"/>
      <c r="AA22" s="134">
        <v>4200.4509800000005</v>
      </c>
      <c r="AB22" s="134"/>
      <c r="AC22" s="134">
        <f t="shared" si="5"/>
        <v>182656.33047999998</v>
      </c>
      <c r="AD22" s="134">
        <f t="shared" si="5"/>
        <v>138137.92147999999</v>
      </c>
      <c r="AE22" s="134">
        <f t="shared" si="5"/>
        <v>25944</v>
      </c>
      <c r="AF22" s="134">
        <f t="shared" si="18"/>
        <v>18574.408999999985</v>
      </c>
      <c r="AG22" s="134">
        <f>AF22*5%</f>
        <v>928.72044999999935</v>
      </c>
      <c r="AH22" s="134">
        <f t="shared" si="39"/>
        <v>5129.1714300000003</v>
      </c>
      <c r="AI22" s="135">
        <f t="shared" si="8"/>
        <v>0</v>
      </c>
      <c r="AJ22" s="127"/>
      <c r="AK22" s="137">
        <f t="shared" si="43"/>
        <v>1.5</v>
      </c>
      <c r="AL22" s="129">
        <f t="shared" si="9"/>
        <v>1.5</v>
      </c>
      <c r="AM22" s="138">
        <v>9343.5</v>
      </c>
      <c r="AN22" s="128">
        <v>12006.7</v>
      </c>
      <c r="AO22" s="139">
        <f t="shared" si="10"/>
        <v>0.77819051029841668</v>
      </c>
      <c r="AP22" s="127"/>
      <c r="AQ22" s="137">
        <f t="shared" si="44"/>
        <v>1</v>
      </c>
      <c r="AR22" s="140">
        <f t="shared" si="21"/>
        <v>1</v>
      </c>
      <c r="AS22" s="138">
        <v>24124.3</v>
      </c>
      <c r="AT22" s="128">
        <v>30410.2</v>
      </c>
      <c r="AU22" s="135">
        <f t="shared" si="22"/>
        <v>0.79329632820566776</v>
      </c>
      <c r="AV22" s="127"/>
      <c r="AW22" s="137">
        <f t="shared" si="45"/>
        <v>1</v>
      </c>
      <c r="AX22" s="140">
        <f t="shared" si="11"/>
        <v>1</v>
      </c>
      <c r="AY22" s="98"/>
      <c r="AZ22" s="99">
        <f t="shared" si="24"/>
        <v>0</v>
      </c>
      <c r="BA22" s="100">
        <f t="shared" si="25"/>
        <v>0</v>
      </c>
      <c r="BB22" s="98"/>
      <c r="BC22" s="99"/>
      <c r="BD22" s="100">
        <f t="shared" si="26"/>
        <v>0</v>
      </c>
      <c r="BE22" s="141">
        <f t="shared" si="27"/>
        <v>6.5</v>
      </c>
      <c r="BF22" s="142"/>
      <c r="BG22" s="103">
        <v>10961.853999999999</v>
      </c>
      <c r="BH22" s="7"/>
      <c r="BI22" s="104">
        <f t="shared" si="12"/>
        <v>0.82694536225174675</v>
      </c>
      <c r="BJ22" s="7">
        <f t="shared" si="28"/>
        <v>0</v>
      </c>
      <c r="BK22" s="105">
        <f t="shared" si="29"/>
        <v>0</v>
      </c>
      <c r="BL22" s="105">
        <f t="shared" si="30"/>
        <v>0</v>
      </c>
      <c r="BM22" s="105">
        <f t="shared" si="31"/>
        <v>1</v>
      </c>
      <c r="BN22" s="7">
        <f t="shared" si="32"/>
        <v>0</v>
      </c>
      <c r="BP22" s="104">
        <f t="shared" si="33"/>
        <v>0.34384562086254949</v>
      </c>
      <c r="BQ22" s="7">
        <f t="shared" si="34"/>
        <v>0</v>
      </c>
      <c r="BR22" s="105">
        <f t="shared" si="35"/>
        <v>0</v>
      </c>
      <c r="BS22" s="105">
        <f t="shared" si="36"/>
        <v>1</v>
      </c>
      <c r="BT22" s="105">
        <f t="shared" si="37"/>
        <v>0</v>
      </c>
      <c r="BU22" s="7">
        <f t="shared" si="38"/>
        <v>0</v>
      </c>
    </row>
    <row r="23" spans="1:73" s="9" customFormat="1" x14ac:dyDescent="0.25">
      <c r="A23" s="124" t="s">
        <v>91</v>
      </c>
      <c r="B23" s="125">
        <v>0</v>
      </c>
      <c r="C23" s="125">
        <v>2352.6241600000003</v>
      </c>
      <c r="D23" s="125">
        <v>0</v>
      </c>
      <c r="E23" s="126">
        <f t="shared" si="13"/>
        <v>0</v>
      </c>
      <c r="F23" s="127"/>
      <c r="G23" s="128">
        <f t="shared" si="40"/>
        <v>1</v>
      </c>
      <c r="H23" s="129">
        <f t="shared" si="0"/>
        <v>1</v>
      </c>
      <c r="I23" s="125">
        <v>0</v>
      </c>
      <c r="J23" s="130">
        <v>869188.48067999992</v>
      </c>
      <c r="K23" s="131">
        <v>715028.18067999999</v>
      </c>
      <c r="L23" s="125">
        <v>95437</v>
      </c>
      <c r="M23" s="125">
        <v>0</v>
      </c>
      <c r="N23" s="126">
        <f t="shared" si="15"/>
        <v>0</v>
      </c>
      <c r="O23" s="127"/>
      <c r="P23" s="128">
        <f t="shared" si="41"/>
        <v>1</v>
      </c>
      <c r="Q23" s="129">
        <f t="shared" si="2"/>
        <v>1</v>
      </c>
      <c r="R23" s="143">
        <v>0</v>
      </c>
      <c r="S23" s="125">
        <v>871541.10484000004</v>
      </c>
      <c r="T23" s="133">
        <v>268405.20640999998</v>
      </c>
      <c r="U23" s="126">
        <f t="shared" si="3"/>
        <v>0</v>
      </c>
      <c r="V23" s="127"/>
      <c r="W23" s="128">
        <f t="shared" si="42"/>
        <v>1</v>
      </c>
      <c r="X23" s="129">
        <f t="shared" si="16"/>
        <v>1</v>
      </c>
      <c r="Y23" s="125">
        <f t="shared" si="17"/>
        <v>2352.6241600000003</v>
      </c>
      <c r="Z23" s="134"/>
      <c r="AA23" s="134">
        <v>2352.6241600000003</v>
      </c>
      <c r="AB23" s="134"/>
      <c r="AC23" s="134">
        <f t="shared" si="5"/>
        <v>869188.48067999992</v>
      </c>
      <c r="AD23" s="134">
        <f t="shared" si="5"/>
        <v>715028.18067999999</v>
      </c>
      <c r="AE23" s="134">
        <f t="shared" si="5"/>
        <v>95437</v>
      </c>
      <c r="AF23" s="134">
        <f t="shared" si="18"/>
        <v>58723.29999999993</v>
      </c>
      <c r="AG23" s="134">
        <f>AF23*10%</f>
        <v>5872.3299999999936</v>
      </c>
      <c r="AH23" s="134">
        <f t="shared" si="39"/>
        <v>8224.9541599999939</v>
      </c>
      <c r="AI23" s="135">
        <f t="shared" si="8"/>
        <v>0</v>
      </c>
      <c r="AJ23" s="136"/>
      <c r="AK23" s="137">
        <f t="shared" si="43"/>
        <v>1.5</v>
      </c>
      <c r="AL23" s="129">
        <f t="shared" si="9"/>
        <v>1.5</v>
      </c>
      <c r="AM23" s="138">
        <v>18987.2</v>
      </c>
      <c r="AN23" s="128">
        <v>20866.099999999999</v>
      </c>
      <c r="AO23" s="139">
        <f t="shared" si="10"/>
        <v>0.9099544236824324</v>
      </c>
      <c r="AP23" s="136"/>
      <c r="AQ23" s="137">
        <f t="shared" si="44"/>
        <v>1</v>
      </c>
      <c r="AR23" s="140">
        <f t="shared" si="21"/>
        <v>1</v>
      </c>
      <c r="AS23" s="138">
        <v>42764.3</v>
      </c>
      <c r="AT23" s="128">
        <v>47892.9</v>
      </c>
      <c r="AU23" s="135">
        <f t="shared" si="22"/>
        <v>0.89291523378204285</v>
      </c>
      <c r="AV23" s="136"/>
      <c r="AW23" s="137">
        <f t="shared" si="45"/>
        <v>1</v>
      </c>
      <c r="AX23" s="140">
        <f t="shared" si="11"/>
        <v>1</v>
      </c>
      <c r="AY23" s="98"/>
      <c r="AZ23" s="99">
        <f t="shared" si="24"/>
        <v>0</v>
      </c>
      <c r="BA23" s="100">
        <f t="shared" si="25"/>
        <v>0</v>
      </c>
      <c r="BB23" s="98"/>
      <c r="BC23" s="99"/>
      <c r="BD23" s="100">
        <f t="shared" si="26"/>
        <v>0</v>
      </c>
      <c r="BE23" s="141">
        <f t="shared" si="27"/>
        <v>6.5</v>
      </c>
      <c r="BF23" s="142"/>
      <c r="BG23" s="103">
        <v>31817.344000000001</v>
      </c>
      <c r="BH23" s="7"/>
      <c r="BI23" s="104">
        <f t="shared" si="12"/>
        <v>0.90225543467175673</v>
      </c>
      <c r="BJ23" s="7">
        <f t="shared" si="28"/>
        <v>0</v>
      </c>
      <c r="BK23" s="105">
        <f t="shared" si="29"/>
        <v>0</v>
      </c>
      <c r="BL23" s="105">
        <f t="shared" si="30"/>
        <v>0</v>
      </c>
      <c r="BM23" s="105">
        <f t="shared" si="31"/>
        <v>0</v>
      </c>
      <c r="BN23" s="7">
        <f t="shared" si="32"/>
        <v>1</v>
      </c>
      <c r="BP23" s="104">
        <f t="shared" si="33"/>
        <v>0.21181405916238977</v>
      </c>
      <c r="BQ23" s="7">
        <f t="shared" si="34"/>
        <v>0</v>
      </c>
      <c r="BR23" s="105">
        <f t="shared" si="35"/>
        <v>0</v>
      </c>
      <c r="BS23" s="105">
        <f t="shared" si="36"/>
        <v>1</v>
      </c>
      <c r="BT23" s="105">
        <f t="shared" si="37"/>
        <v>0</v>
      </c>
      <c r="BU23" s="7">
        <f t="shared" si="38"/>
        <v>0</v>
      </c>
    </row>
    <row r="24" spans="1:73" s="9" customFormat="1" x14ac:dyDescent="0.25">
      <c r="A24" s="124" t="s">
        <v>92</v>
      </c>
      <c r="B24" s="125">
        <v>0</v>
      </c>
      <c r="C24" s="125">
        <v>7354.8405899999998</v>
      </c>
      <c r="D24" s="125">
        <v>0</v>
      </c>
      <c r="E24" s="126">
        <f t="shared" si="13"/>
        <v>0</v>
      </c>
      <c r="F24" s="127"/>
      <c r="G24" s="128">
        <f t="shared" si="40"/>
        <v>1</v>
      </c>
      <c r="H24" s="129">
        <f t="shared" si="0"/>
        <v>1</v>
      </c>
      <c r="I24" s="125">
        <v>0</v>
      </c>
      <c r="J24" s="130">
        <v>219847.95170999999</v>
      </c>
      <c r="K24" s="131">
        <v>166123.15171000001</v>
      </c>
      <c r="L24" s="125">
        <v>40322</v>
      </c>
      <c r="M24" s="125">
        <v>0</v>
      </c>
      <c r="N24" s="126">
        <f t="shared" si="15"/>
        <v>0</v>
      </c>
      <c r="O24" s="127"/>
      <c r="P24" s="128">
        <f t="shared" si="41"/>
        <v>1</v>
      </c>
      <c r="Q24" s="129">
        <f t="shared" si="2"/>
        <v>1</v>
      </c>
      <c r="R24" s="143">
        <v>0</v>
      </c>
      <c r="S24" s="125">
        <v>227202.7923</v>
      </c>
      <c r="T24" s="133">
        <v>111555.08404</v>
      </c>
      <c r="U24" s="126">
        <f t="shared" si="3"/>
        <v>0</v>
      </c>
      <c r="V24" s="127"/>
      <c r="W24" s="128">
        <f t="shared" si="42"/>
        <v>1</v>
      </c>
      <c r="X24" s="129">
        <f t="shared" si="16"/>
        <v>1</v>
      </c>
      <c r="Y24" s="125">
        <f t="shared" si="17"/>
        <v>7354.8405899999998</v>
      </c>
      <c r="Z24" s="134"/>
      <c r="AA24" s="134">
        <v>7354.8405899999998</v>
      </c>
      <c r="AB24" s="134"/>
      <c r="AC24" s="134">
        <f t="shared" si="5"/>
        <v>219847.95170999999</v>
      </c>
      <c r="AD24" s="134">
        <f t="shared" si="5"/>
        <v>166123.15171000001</v>
      </c>
      <c r="AE24" s="134">
        <f t="shared" si="5"/>
        <v>40322</v>
      </c>
      <c r="AF24" s="134">
        <f t="shared" si="18"/>
        <v>13402.799999999988</v>
      </c>
      <c r="AG24" s="134">
        <f>AF24*5%</f>
        <v>670.13999999999942</v>
      </c>
      <c r="AH24" s="134">
        <f t="shared" si="39"/>
        <v>8024.9805899999992</v>
      </c>
      <c r="AI24" s="135">
        <f t="shared" si="8"/>
        <v>0</v>
      </c>
      <c r="AJ24" s="127"/>
      <c r="AK24" s="137">
        <f t="shared" si="43"/>
        <v>1.5</v>
      </c>
      <c r="AL24" s="129">
        <f t="shared" si="9"/>
        <v>1.5</v>
      </c>
      <c r="AM24" s="138">
        <v>11369.1</v>
      </c>
      <c r="AN24" s="128">
        <v>13089.6</v>
      </c>
      <c r="AO24" s="139">
        <f t="shared" si="10"/>
        <v>0.86855977264393103</v>
      </c>
      <c r="AP24" s="127"/>
      <c r="AQ24" s="137">
        <f t="shared" si="44"/>
        <v>1</v>
      </c>
      <c r="AR24" s="140">
        <f t="shared" si="21"/>
        <v>1</v>
      </c>
      <c r="AS24" s="138">
        <v>31633.4</v>
      </c>
      <c r="AT24" s="128">
        <v>32830.300000000003</v>
      </c>
      <c r="AU24" s="135">
        <f t="shared" si="22"/>
        <v>0.96354282476858266</v>
      </c>
      <c r="AV24" s="127"/>
      <c r="AW24" s="137">
        <f t="shared" si="45"/>
        <v>1</v>
      </c>
      <c r="AX24" s="140">
        <f t="shared" si="11"/>
        <v>1</v>
      </c>
      <c r="AY24" s="98"/>
      <c r="AZ24" s="99">
        <f t="shared" si="24"/>
        <v>0</v>
      </c>
      <c r="BA24" s="100">
        <f t="shared" si="25"/>
        <v>0</v>
      </c>
      <c r="BB24" s="98"/>
      <c r="BC24" s="99"/>
      <c r="BD24" s="100">
        <f t="shared" si="26"/>
        <v>0</v>
      </c>
      <c r="BE24" s="141">
        <f t="shared" si="27"/>
        <v>6.5</v>
      </c>
      <c r="BF24" s="142"/>
      <c r="BG24" s="103">
        <v>40337.11</v>
      </c>
      <c r="BH24" s="7"/>
      <c r="BI24" s="104">
        <f t="shared" si="12"/>
        <v>0.87623561654270499</v>
      </c>
      <c r="BJ24" s="7">
        <f t="shared" si="28"/>
        <v>0</v>
      </c>
      <c r="BK24" s="105">
        <f t="shared" si="29"/>
        <v>0</v>
      </c>
      <c r="BL24" s="105">
        <f t="shared" si="30"/>
        <v>0</v>
      </c>
      <c r="BM24" s="105">
        <f t="shared" si="31"/>
        <v>1</v>
      </c>
      <c r="BN24" s="7">
        <f t="shared" si="32"/>
        <v>0</v>
      </c>
      <c r="BP24" s="104">
        <f t="shared" si="33"/>
        <v>0.74482384422390469</v>
      </c>
      <c r="BQ24" s="7">
        <f t="shared" si="34"/>
        <v>0</v>
      </c>
      <c r="BR24" s="105">
        <f t="shared" si="35"/>
        <v>0</v>
      </c>
      <c r="BS24" s="105">
        <f t="shared" si="36"/>
        <v>0</v>
      </c>
      <c r="BT24" s="105">
        <f t="shared" si="37"/>
        <v>1</v>
      </c>
      <c r="BU24" s="7">
        <f t="shared" si="38"/>
        <v>0</v>
      </c>
    </row>
    <row r="25" spans="1:73" s="9" customFormat="1" x14ac:dyDescent="0.25">
      <c r="A25" s="124" t="s">
        <v>93</v>
      </c>
      <c r="B25" s="125">
        <v>0</v>
      </c>
      <c r="C25" s="125">
        <v>14.213299999999998</v>
      </c>
      <c r="D25" s="125">
        <v>0</v>
      </c>
      <c r="E25" s="126">
        <f t="shared" si="13"/>
        <v>0</v>
      </c>
      <c r="F25" s="127"/>
      <c r="G25" s="128">
        <f t="shared" si="40"/>
        <v>1</v>
      </c>
      <c r="H25" s="129">
        <f t="shared" si="0"/>
        <v>1</v>
      </c>
      <c r="I25" s="125">
        <v>0</v>
      </c>
      <c r="J25" s="130">
        <v>495928.44435000001</v>
      </c>
      <c r="K25" s="131">
        <v>322246.84435000003</v>
      </c>
      <c r="L25" s="125">
        <v>103903</v>
      </c>
      <c r="M25" s="125">
        <v>0</v>
      </c>
      <c r="N25" s="126">
        <f t="shared" si="15"/>
        <v>0</v>
      </c>
      <c r="O25" s="127"/>
      <c r="P25" s="128">
        <f t="shared" si="41"/>
        <v>1</v>
      </c>
      <c r="Q25" s="129">
        <f t="shared" si="2"/>
        <v>1</v>
      </c>
      <c r="R25" s="143">
        <v>0</v>
      </c>
      <c r="S25" s="125">
        <v>495942.65764999995</v>
      </c>
      <c r="T25" s="133">
        <v>237193.52274000001</v>
      </c>
      <c r="U25" s="126">
        <f t="shared" si="3"/>
        <v>0</v>
      </c>
      <c r="V25" s="127"/>
      <c r="W25" s="128">
        <f t="shared" si="42"/>
        <v>1</v>
      </c>
      <c r="X25" s="129">
        <f t="shared" si="16"/>
        <v>1</v>
      </c>
      <c r="Y25" s="125">
        <f t="shared" si="17"/>
        <v>14.213299999999998</v>
      </c>
      <c r="Z25" s="134"/>
      <c r="AA25" s="134">
        <v>14.213299999999998</v>
      </c>
      <c r="AB25" s="134"/>
      <c r="AC25" s="134">
        <f t="shared" si="5"/>
        <v>495928.44435000001</v>
      </c>
      <c r="AD25" s="134">
        <f t="shared" si="5"/>
        <v>322246.84435000003</v>
      </c>
      <c r="AE25" s="134">
        <f t="shared" si="5"/>
        <v>103903</v>
      </c>
      <c r="AF25" s="134">
        <f t="shared" si="18"/>
        <v>69778.599999999977</v>
      </c>
      <c r="AG25" s="134">
        <f>AF25*10%</f>
        <v>6977.8599999999979</v>
      </c>
      <c r="AH25" s="134">
        <f t="shared" si="39"/>
        <v>6992.0732999999982</v>
      </c>
      <c r="AI25" s="135">
        <f t="shared" si="8"/>
        <v>0</v>
      </c>
      <c r="AJ25" s="136"/>
      <c r="AK25" s="137">
        <f t="shared" si="43"/>
        <v>1.5</v>
      </c>
      <c r="AL25" s="129">
        <f t="shared" si="9"/>
        <v>1.5</v>
      </c>
      <c r="AM25" s="138">
        <v>19287.2</v>
      </c>
      <c r="AN25" s="128">
        <v>20866.099999999999</v>
      </c>
      <c r="AO25" s="139">
        <f t="shared" si="10"/>
        <v>0.92433181092777295</v>
      </c>
      <c r="AP25" s="136"/>
      <c r="AQ25" s="137">
        <f t="shared" si="44"/>
        <v>1</v>
      </c>
      <c r="AR25" s="140">
        <f t="shared" si="21"/>
        <v>1</v>
      </c>
      <c r="AS25" s="138">
        <v>45775.4</v>
      </c>
      <c r="AT25" s="128">
        <v>47892.9</v>
      </c>
      <c r="AU25" s="135">
        <f t="shared" si="22"/>
        <v>0.95578676588805433</v>
      </c>
      <c r="AV25" s="136"/>
      <c r="AW25" s="137">
        <f t="shared" si="45"/>
        <v>1</v>
      </c>
      <c r="AX25" s="140">
        <f t="shared" si="11"/>
        <v>1</v>
      </c>
      <c r="AY25" s="98"/>
      <c r="AZ25" s="99">
        <f t="shared" si="24"/>
        <v>0</v>
      </c>
      <c r="BA25" s="100">
        <f t="shared" si="25"/>
        <v>0</v>
      </c>
      <c r="BB25" s="98"/>
      <c r="BC25" s="99"/>
      <c r="BD25" s="100">
        <f t="shared" si="26"/>
        <v>0</v>
      </c>
      <c r="BE25" s="141">
        <f t="shared" si="27"/>
        <v>6.5</v>
      </c>
      <c r="BF25" s="142"/>
      <c r="BG25" s="103">
        <v>16988.464</v>
      </c>
      <c r="BH25" s="7"/>
      <c r="BI25" s="104">
        <f t="shared" si="12"/>
        <v>0.73030853521512784</v>
      </c>
      <c r="BJ25" s="7">
        <f t="shared" si="28"/>
        <v>0</v>
      </c>
      <c r="BK25" s="105">
        <f t="shared" si="29"/>
        <v>0</v>
      </c>
      <c r="BL25" s="105">
        <f t="shared" si="30"/>
        <v>0</v>
      </c>
      <c r="BM25" s="105">
        <f t="shared" si="31"/>
        <v>1</v>
      </c>
      <c r="BN25" s="7">
        <f t="shared" si="32"/>
        <v>0</v>
      </c>
      <c r="BP25" s="104">
        <f t="shared" si="33"/>
        <v>0.46724061540569251</v>
      </c>
      <c r="BQ25" s="7">
        <f t="shared" si="34"/>
        <v>0</v>
      </c>
      <c r="BR25" s="105">
        <f t="shared" si="35"/>
        <v>0</v>
      </c>
      <c r="BS25" s="105">
        <f t="shared" si="36"/>
        <v>1</v>
      </c>
      <c r="BT25" s="105">
        <f t="shared" si="37"/>
        <v>0</v>
      </c>
      <c r="BU25" s="7">
        <f t="shared" si="38"/>
        <v>0</v>
      </c>
    </row>
    <row r="26" spans="1:73" s="9" customFormat="1" x14ac:dyDescent="0.25">
      <c r="A26" s="124" t="s">
        <v>94</v>
      </c>
      <c r="B26" s="125">
        <v>0</v>
      </c>
      <c r="C26" s="125">
        <v>14848.80997</v>
      </c>
      <c r="D26" s="125">
        <v>0</v>
      </c>
      <c r="E26" s="126">
        <f t="shared" si="13"/>
        <v>0</v>
      </c>
      <c r="F26" s="127"/>
      <c r="G26" s="128">
        <f t="shared" si="40"/>
        <v>1</v>
      </c>
      <c r="H26" s="129">
        <f t="shared" si="0"/>
        <v>1</v>
      </c>
      <c r="I26" s="125">
        <v>0</v>
      </c>
      <c r="J26" s="130">
        <v>264121.65165000001</v>
      </c>
      <c r="K26" s="131">
        <v>203737.65165000001</v>
      </c>
      <c r="L26" s="125">
        <v>41823</v>
      </c>
      <c r="M26" s="125">
        <v>0</v>
      </c>
      <c r="N26" s="126">
        <f t="shared" si="15"/>
        <v>0</v>
      </c>
      <c r="O26" s="127"/>
      <c r="P26" s="128">
        <f t="shared" si="41"/>
        <v>1</v>
      </c>
      <c r="Q26" s="129">
        <f t="shared" si="2"/>
        <v>1</v>
      </c>
      <c r="R26" s="143">
        <v>0</v>
      </c>
      <c r="S26" s="125">
        <v>278970.46162000002</v>
      </c>
      <c r="T26" s="133">
        <v>117791.29598000001</v>
      </c>
      <c r="U26" s="126">
        <f t="shared" si="3"/>
        <v>0</v>
      </c>
      <c r="V26" s="127"/>
      <c r="W26" s="128">
        <f t="shared" si="42"/>
        <v>1</v>
      </c>
      <c r="X26" s="129">
        <f t="shared" si="16"/>
        <v>1</v>
      </c>
      <c r="Y26" s="125">
        <f t="shared" si="17"/>
        <v>14848.80997</v>
      </c>
      <c r="Z26" s="134"/>
      <c r="AA26" s="134">
        <v>14848.80997</v>
      </c>
      <c r="AB26" s="134"/>
      <c r="AC26" s="134">
        <f t="shared" si="5"/>
        <v>264121.65165000001</v>
      </c>
      <c r="AD26" s="134">
        <f t="shared" si="5"/>
        <v>203737.65165000001</v>
      </c>
      <c r="AE26" s="134">
        <f t="shared" si="5"/>
        <v>41823</v>
      </c>
      <c r="AF26" s="134">
        <f t="shared" si="18"/>
        <v>18561</v>
      </c>
      <c r="AG26" s="134">
        <f t="shared" ref="AG26:AG33" si="46">AF26*5%</f>
        <v>928.05000000000007</v>
      </c>
      <c r="AH26" s="134">
        <f t="shared" si="39"/>
        <v>15776.85997</v>
      </c>
      <c r="AI26" s="135">
        <f t="shared" si="8"/>
        <v>0</v>
      </c>
      <c r="AJ26" s="136"/>
      <c r="AK26" s="137">
        <f t="shared" si="43"/>
        <v>1.5</v>
      </c>
      <c r="AL26" s="129">
        <f t="shared" si="9"/>
        <v>1.5</v>
      </c>
      <c r="AM26" s="138">
        <v>12522.7</v>
      </c>
      <c r="AN26" s="128">
        <v>14651.6</v>
      </c>
      <c r="AO26" s="139">
        <f t="shared" si="10"/>
        <v>0.85469846296650198</v>
      </c>
      <c r="AP26" s="136"/>
      <c r="AQ26" s="137">
        <f t="shared" si="44"/>
        <v>1</v>
      </c>
      <c r="AR26" s="140">
        <f>AP26+AQ26</f>
        <v>1</v>
      </c>
      <c r="AS26" s="138">
        <v>33146.9</v>
      </c>
      <c r="AT26" s="128">
        <v>36362.9</v>
      </c>
      <c r="AU26" s="135">
        <f t="shared" si="22"/>
        <v>0.9115582090537333</v>
      </c>
      <c r="AV26" s="136"/>
      <c r="AW26" s="137">
        <f t="shared" si="45"/>
        <v>1</v>
      </c>
      <c r="AX26" s="140">
        <f t="shared" si="11"/>
        <v>1</v>
      </c>
      <c r="AY26" s="98"/>
      <c r="AZ26" s="99">
        <f t="shared" si="24"/>
        <v>0</v>
      </c>
      <c r="BA26" s="100">
        <f t="shared" si="25"/>
        <v>0</v>
      </c>
      <c r="BB26" s="98"/>
      <c r="BC26" s="99"/>
      <c r="BD26" s="100">
        <f t="shared" si="26"/>
        <v>0</v>
      </c>
      <c r="BE26" s="141">
        <f t="shared" si="27"/>
        <v>6.5</v>
      </c>
      <c r="BF26" s="110"/>
      <c r="BG26" s="103">
        <v>40388.538</v>
      </c>
      <c r="BH26" s="7"/>
      <c r="BI26" s="104">
        <f t="shared" si="12"/>
        <v>0.87315687223600924</v>
      </c>
      <c r="BJ26" s="7">
        <f t="shared" si="28"/>
        <v>0</v>
      </c>
      <c r="BK26" s="105">
        <f t="shared" si="29"/>
        <v>0</v>
      </c>
      <c r="BL26" s="105">
        <f t="shared" si="30"/>
        <v>0</v>
      </c>
      <c r="BM26" s="105">
        <f t="shared" si="31"/>
        <v>1</v>
      </c>
      <c r="BN26" s="7">
        <f t="shared" si="32"/>
        <v>0</v>
      </c>
      <c r="BP26" s="104">
        <f t="shared" si="33"/>
        <v>0.56182148689231015</v>
      </c>
      <c r="BQ26" s="7">
        <f t="shared" si="34"/>
        <v>0</v>
      </c>
      <c r="BR26" s="105">
        <f t="shared" si="35"/>
        <v>0</v>
      </c>
      <c r="BS26" s="105">
        <f t="shared" si="36"/>
        <v>0</v>
      </c>
      <c r="BT26" s="105">
        <f t="shared" si="37"/>
        <v>1</v>
      </c>
      <c r="BU26" s="7">
        <f t="shared" si="38"/>
        <v>0</v>
      </c>
    </row>
    <row r="27" spans="1:73" s="9" customFormat="1" x14ac:dyDescent="0.25">
      <c r="A27" s="124" t="s">
        <v>95</v>
      </c>
      <c r="B27" s="125">
        <v>0</v>
      </c>
      <c r="C27" s="125">
        <v>7577.8712500000001</v>
      </c>
      <c r="D27" s="125">
        <v>0</v>
      </c>
      <c r="E27" s="126">
        <f t="shared" si="13"/>
        <v>0</v>
      </c>
      <c r="F27" s="127"/>
      <c r="G27" s="128">
        <f t="shared" si="40"/>
        <v>1</v>
      </c>
      <c r="H27" s="129">
        <f t="shared" si="0"/>
        <v>1</v>
      </c>
      <c r="I27" s="125">
        <v>0</v>
      </c>
      <c r="J27" s="130">
        <v>492186.60813000001</v>
      </c>
      <c r="K27" s="131">
        <v>341798.70812999998</v>
      </c>
      <c r="L27" s="125">
        <v>104569</v>
      </c>
      <c r="M27" s="125">
        <v>0</v>
      </c>
      <c r="N27" s="126">
        <f t="shared" si="15"/>
        <v>0</v>
      </c>
      <c r="O27" s="127"/>
      <c r="P27" s="128">
        <f t="shared" si="41"/>
        <v>1</v>
      </c>
      <c r="Q27" s="129">
        <f>O27+P27</f>
        <v>1</v>
      </c>
      <c r="R27" s="143">
        <v>0</v>
      </c>
      <c r="S27" s="125">
        <v>499764.47937999998</v>
      </c>
      <c r="T27" s="133">
        <v>228433.46122</v>
      </c>
      <c r="U27" s="126">
        <f t="shared" si="3"/>
        <v>0</v>
      </c>
      <c r="V27" s="127"/>
      <c r="W27" s="128">
        <f t="shared" si="42"/>
        <v>1</v>
      </c>
      <c r="X27" s="129">
        <f t="shared" si="16"/>
        <v>1</v>
      </c>
      <c r="Y27" s="125">
        <f t="shared" si="17"/>
        <v>7577.8712500000001</v>
      </c>
      <c r="Z27" s="134"/>
      <c r="AA27" s="134">
        <v>7577.8712500000001</v>
      </c>
      <c r="AB27" s="134"/>
      <c r="AC27" s="134">
        <f t="shared" si="5"/>
        <v>492186.60813000001</v>
      </c>
      <c r="AD27" s="134">
        <f t="shared" si="5"/>
        <v>341798.70812999998</v>
      </c>
      <c r="AE27" s="134">
        <f t="shared" si="5"/>
        <v>104569</v>
      </c>
      <c r="AF27" s="134">
        <f t="shared" si="18"/>
        <v>45818.900000000023</v>
      </c>
      <c r="AG27" s="134">
        <f>AF27*10%</f>
        <v>4581.8900000000021</v>
      </c>
      <c r="AH27" s="134">
        <f t="shared" si="39"/>
        <v>12159.761250000003</v>
      </c>
      <c r="AI27" s="135">
        <f t="shared" si="8"/>
        <v>0</v>
      </c>
      <c r="AJ27" s="136"/>
      <c r="AK27" s="137">
        <f t="shared" si="43"/>
        <v>1.5</v>
      </c>
      <c r="AL27" s="129">
        <f t="shared" si="9"/>
        <v>1.5</v>
      </c>
      <c r="AM27" s="138">
        <v>13587.8</v>
      </c>
      <c r="AN27" s="128">
        <v>17315.3</v>
      </c>
      <c r="AO27" s="139">
        <f t="shared" si="10"/>
        <v>0.7847279573556335</v>
      </c>
      <c r="AP27" s="136"/>
      <c r="AQ27" s="137">
        <f t="shared" si="44"/>
        <v>1</v>
      </c>
      <c r="AR27" s="140">
        <f t="shared" si="21"/>
        <v>1</v>
      </c>
      <c r="AS27" s="138">
        <v>30318.7</v>
      </c>
      <c r="AT27" s="128">
        <v>41252.800000000003</v>
      </c>
      <c r="AU27" s="135">
        <f t="shared" si="22"/>
        <v>0.73494890043827321</v>
      </c>
      <c r="AV27" s="136"/>
      <c r="AW27" s="137">
        <f t="shared" si="45"/>
        <v>1</v>
      </c>
      <c r="AX27" s="140">
        <f t="shared" si="11"/>
        <v>1</v>
      </c>
      <c r="AY27" s="98"/>
      <c r="AZ27" s="99">
        <f t="shared" si="24"/>
        <v>0</v>
      </c>
      <c r="BA27" s="100">
        <f t="shared" si="25"/>
        <v>0</v>
      </c>
      <c r="BB27" s="98"/>
      <c r="BC27" s="99"/>
      <c r="BD27" s="100">
        <f t="shared" si="26"/>
        <v>0</v>
      </c>
      <c r="BE27" s="141">
        <f t="shared" si="27"/>
        <v>6.5</v>
      </c>
      <c r="BF27" s="142"/>
      <c r="BG27" s="103">
        <v>46282.382380000003</v>
      </c>
      <c r="BH27" s="7"/>
      <c r="BI27" s="104">
        <f t="shared" si="12"/>
        <v>0.826281124844229</v>
      </c>
      <c r="BJ27" s="7">
        <f t="shared" si="28"/>
        <v>0</v>
      </c>
      <c r="BK27" s="105">
        <f t="shared" si="29"/>
        <v>0</v>
      </c>
      <c r="BL27" s="105">
        <f t="shared" si="30"/>
        <v>0</v>
      </c>
      <c r="BM27" s="105">
        <f t="shared" si="31"/>
        <v>1</v>
      </c>
      <c r="BN27" s="7">
        <f t="shared" si="32"/>
        <v>0</v>
      </c>
      <c r="BP27" s="104">
        <f t="shared" si="33"/>
        <v>0.57194154514287077</v>
      </c>
      <c r="BQ27" s="7">
        <f t="shared" si="34"/>
        <v>0</v>
      </c>
      <c r="BR27" s="105">
        <f t="shared" si="35"/>
        <v>0</v>
      </c>
      <c r="BS27" s="105">
        <f t="shared" si="36"/>
        <v>0</v>
      </c>
      <c r="BT27" s="105">
        <f t="shared" si="37"/>
        <v>1</v>
      </c>
      <c r="BU27" s="7">
        <f t="shared" si="38"/>
        <v>0</v>
      </c>
    </row>
    <row r="28" spans="1:73" s="9" customFormat="1" x14ac:dyDescent="0.25">
      <c r="A28" s="124" t="s">
        <v>96</v>
      </c>
      <c r="B28" s="125">
        <v>0</v>
      </c>
      <c r="C28" s="125">
        <v>10769.433010000001</v>
      </c>
      <c r="D28" s="125">
        <v>0</v>
      </c>
      <c r="E28" s="126">
        <f t="shared" si="13"/>
        <v>0</v>
      </c>
      <c r="F28" s="127"/>
      <c r="G28" s="128">
        <f t="shared" si="40"/>
        <v>1</v>
      </c>
      <c r="H28" s="129">
        <f t="shared" si="0"/>
        <v>1</v>
      </c>
      <c r="I28" s="125">
        <v>0</v>
      </c>
      <c r="J28" s="130">
        <v>360968.83481999999</v>
      </c>
      <c r="K28" s="131">
        <v>250945.23481999998</v>
      </c>
      <c r="L28" s="125">
        <v>54844</v>
      </c>
      <c r="M28" s="125">
        <v>0</v>
      </c>
      <c r="N28" s="126">
        <f t="shared" si="15"/>
        <v>0</v>
      </c>
      <c r="O28" s="127"/>
      <c r="P28" s="128">
        <f t="shared" si="41"/>
        <v>1</v>
      </c>
      <c r="Q28" s="129">
        <f t="shared" si="2"/>
        <v>1</v>
      </c>
      <c r="R28" s="143">
        <v>0</v>
      </c>
      <c r="S28" s="125">
        <v>371738.26782999997</v>
      </c>
      <c r="T28" s="133">
        <v>168692.92519000001</v>
      </c>
      <c r="U28" s="126">
        <f t="shared" si="3"/>
        <v>0</v>
      </c>
      <c r="V28" s="127"/>
      <c r="W28" s="128">
        <f t="shared" si="42"/>
        <v>1</v>
      </c>
      <c r="X28" s="129">
        <f t="shared" si="16"/>
        <v>1</v>
      </c>
      <c r="Y28" s="125">
        <f t="shared" si="17"/>
        <v>10769.433010000001</v>
      </c>
      <c r="Z28" s="134"/>
      <c r="AA28" s="134">
        <v>10769.433010000001</v>
      </c>
      <c r="AB28" s="134"/>
      <c r="AC28" s="134">
        <f t="shared" si="5"/>
        <v>360968.83481999999</v>
      </c>
      <c r="AD28" s="134">
        <f t="shared" si="5"/>
        <v>250945.23481999998</v>
      </c>
      <c r="AE28" s="134">
        <f t="shared" si="5"/>
        <v>54844</v>
      </c>
      <c r="AF28" s="134">
        <f t="shared" si="18"/>
        <v>55179.600000000006</v>
      </c>
      <c r="AG28" s="134">
        <f t="shared" si="46"/>
        <v>2758.9800000000005</v>
      </c>
      <c r="AH28" s="134">
        <f t="shared" si="39"/>
        <v>13528.41301</v>
      </c>
      <c r="AI28" s="135">
        <f t="shared" si="8"/>
        <v>0</v>
      </c>
      <c r="AJ28" s="127"/>
      <c r="AK28" s="137">
        <f t="shared" si="43"/>
        <v>1.5</v>
      </c>
      <c r="AL28" s="129">
        <f t="shared" si="9"/>
        <v>1.5</v>
      </c>
      <c r="AM28" s="138">
        <v>13070.4</v>
      </c>
      <c r="AN28" s="128">
        <v>13609.1</v>
      </c>
      <c r="AO28" s="139">
        <f t="shared" si="10"/>
        <v>0.960416192106752</v>
      </c>
      <c r="AP28" s="127"/>
      <c r="AQ28" s="137">
        <f t="shared" si="44"/>
        <v>1</v>
      </c>
      <c r="AR28" s="140">
        <f t="shared" si="21"/>
        <v>1</v>
      </c>
      <c r="AS28" s="138">
        <v>31492.5</v>
      </c>
      <c r="AT28" s="128">
        <v>32254.7</v>
      </c>
      <c r="AU28" s="135">
        <f t="shared" si="22"/>
        <v>0.97636933532167403</v>
      </c>
      <c r="AV28" s="127"/>
      <c r="AW28" s="137">
        <f t="shared" si="45"/>
        <v>1</v>
      </c>
      <c r="AX28" s="140">
        <f t="shared" si="11"/>
        <v>1</v>
      </c>
      <c r="AY28" s="98"/>
      <c r="AZ28" s="99">
        <f t="shared" si="24"/>
        <v>0</v>
      </c>
      <c r="BA28" s="100">
        <f t="shared" si="25"/>
        <v>0</v>
      </c>
      <c r="BB28" s="98"/>
      <c r="BC28" s="99"/>
      <c r="BD28" s="100">
        <f t="shared" si="26"/>
        <v>0</v>
      </c>
      <c r="BE28" s="141">
        <f t="shared" si="27"/>
        <v>6.5</v>
      </c>
      <c r="BF28" s="142"/>
      <c r="BG28" s="103">
        <v>30349.421999999999</v>
      </c>
      <c r="BH28" s="7"/>
      <c r="BI28" s="104">
        <f t="shared" si="12"/>
        <v>0.71301865061419767</v>
      </c>
      <c r="BJ28" s="7">
        <f t="shared" si="28"/>
        <v>0</v>
      </c>
      <c r="BK28" s="105">
        <f t="shared" si="29"/>
        <v>0</v>
      </c>
      <c r="BL28" s="105">
        <f t="shared" si="30"/>
        <v>0</v>
      </c>
      <c r="BM28" s="105">
        <f t="shared" si="31"/>
        <v>1</v>
      </c>
      <c r="BN28" s="7">
        <f t="shared" si="32"/>
        <v>0</v>
      </c>
      <c r="BP28" s="104">
        <f t="shared" si="33"/>
        <v>0.44307902203629795</v>
      </c>
      <c r="BQ28" s="7">
        <f t="shared" si="34"/>
        <v>0</v>
      </c>
      <c r="BR28" s="105">
        <f t="shared" si="35"/>
        <v>0</v>
      </c>
      <c r="BS28" s="105">
        <f t="shared" si="36"/>
        <v>1</v>
      </c>
      <c r="BT28" s="105">
        <f t="shared" si="37"/>
        <v>0</v>
      </c>
      <c r="BU28" s="7">
        <f t="shared" si="38"/>
        <v>0</v>
      </c>
    </row>
    <row r="29" spans="1:73" s="9" customFormat="1" x14ac:dyDescent="0.25">
      <c r="A29" s="124" t="s">
        <v>97</v>
      </c>
      <c r="B29" s="125">
        <v>0</v>
      </c>
      <c r="C29" s="125">
        <v>3059.3652099999999</v>
      </c>
      <c r="D29" s="125">
        <v>0</v>
      </c>
      <c r="E29" s="126">
        <f t="shared" si="13"/>
        <v>0</v>
      </c>
      <c r="F29" s="127"/>
      <c r="G29" s="128">
        <f t="shared" si="40"/>
        <v>1</v>
      </c>
      <c r="H29" s="129">
        <f t="shared" si="0"/>
        <v>1</v>
      </c>
      <c r="I29" s="125">
        <v>0</v>
      </c>
      <c r="J29" s="130">
        <v>314909.20926999999</v>
      </c>
      <c r="K29" s="131">
        <v>216510.50927000001</v>
      </c>
      <c r="L29" s="125">
        <v>60801</v>
      </c>
      <c r="M29" s="125">
        <v>0</v>
      </c>
      <c r="N29" s="126">
        <f t="shared" si="15"/>
        <v>0</v>
      </c>
      <c r="O29" s="127"/>
      <c r="P29" s="128">
        <f t="shared" si="41"/>
        <v>1</v>
      </c>
      <c r="Q29" s="129">
        <f t="shared" si="2"/>
        <v>1</v>
      </c>
      <c r="R29" s="143">
        <v>0</v>
      </c>
      <c r="S29" s="125">
        <v>317968.57448000001</v>
      </c>
      <c r="T29" s="133">
        <v>143767.37974999999</v>
      </c>
      <c r="U29" s="126">
        <f t="shared" si="3"/>
        <v>0</v>
      </c>
      <c r="V29" s="127"/>
      <c r="W29" s="128">
        <f t="shared" si="42"/>
        <v>1</v>
      </c>
      <c r="X29" s="129">
        <f t="shared" si="16"/>
        <v>1</v>
      </c>
      <c r="Y29" s="125">
        <f t="shared" si="17"/>
        <v>3059.3652099999999</v>
      </c>
      <c r="Z29" s="134"/>
      <c r="AA29" s="134">
        <v>3059.3652099999999</v>
      </c>
      <c r="AB29" s="134"/>
      <c r="AC29" s="134">
        <f t="shared" si="5"/>
        <v>314909.20926999999</v>
      </c>
      <c r="AD29" s="134">
        <f t="shared" si="5"/>
        <v>216510.50927000001</v>
      </c>
      <c r="AE29" s="134">
        <f t="shared" si="5"/>
        <v>60801</v>
      </c>
      <c r="AF29" s="134">
        <f t="shared" si="18"/>
        <v>37597.699999999983</v>
      </c>
      <c r="AG29" s="134">
        <f t="shared" si="46"/>
        <v>1879.8849999999993</v>
      </c>
      <c r="AH29" s="134">
        <f t="shared" si="39"/>
        <v>4939.2502099999992</v>
      </c>
      <c r="AI29" s="135">
        <f t="shared" si="8"/>
        <v>0</v>
      </c>
      <c r="AJ29" s="127"/>
      <c r="AK29" s="137">
        <f t="shared" si="43"/>
        <v>1.5</v>
      </c>
      <c r="AL29" s="129">
        <f t="shared" si="9"/>
        <v>1.5</v>
      </c>
      <c r="AM29" s="138">
        <v>13302</v>
      </c>
      <c r="AN29" s="128">
        <v>14651.6</v>
      </c>
      <c r="AO29" s="139">
        <f t="shared" si="10"/>
        <v>0.90788719320756772</v>
      </c>
      <c r="AP29" s="127"/>
      <c r="AQ29" s="137">
        <f t="shared" si="44"/>
        <v>1</v>
      </c>
      <c r="AR29" s="140">
        <f t="shared" si="21"/>
        <v>1</v>
      </c>
      <c r="AS29" s="138">
        <v>30904.400000000001</v>
      </c>
      <c r="AT29" s="128">
        <v>36362.9</v>
      </c>
      <c r="AU29" s="135">
        <f t="shared" si="22"/>
        <v>0.84988821023625727</v>
      </c>
      <c r="AV29" s="127"/>
      <c r="AW29" s="137">
        <f t="shared" si="45"/>
        <v>1</v>
      </c>
      <c r="AX29" s="140">
        <f t="shared" si="11"/>
        <v>1</v>
      </c>
      <c r="AY29" s="98"/>
      <c r="AZ29" s="99">
        <f t="shared" si="24"/>
        <v>0</v>
      </c>
      <c r="BA29" s="100">
        <f t="shared" si="25"/>
        <v>0</v>
      </c>
      <c r="BB29" s="98"/>
      <c r="BC29" s="99"/>
      <c r="BD29" s="100">
        <f t="shared" si="26"/>
        <v>0</v>
      </c>
      <c r="BE29" s="141">
        <f t="shared" si="27"/>
        <v>6.5</v>
      </c>
      <c r="BF29" s="142"/>
      <c r="BG29" s="103">
        <v>43739.487999999998</v>
      </c>
      <c r="BH29" s="7"/>
      <c r="BI29" s="104">
        <f t="shared" si="12"/>
        <v>0.78031262079264962</v>
      </c>
      <c r="BJ29" s="7">
        <f t="shared" si="28"/>
        <v>0</v>
      </c>
      <c r="BK29" s="105">
        <f t="shared" si="29"/>
        <v>0</v>
      </c>
      <c r="BL29" s="105">
        <f t="shared" si="30"/>
        <v>0</v>
      </c>
      <c r="BM29" s="105">
        <f t="shared" si="31"/>
        <v>1</v>
      </c>
      <c r="BN29" s="7">
        <f t="shared" si="32"/>
        <v>0</v>
      </c>
      <c r="BP29" s="104">
        <f t="shared" si="33"/>
        <v>0.61084124374037485</v>
      </c>
      <c r="BQ29" s="7">
        <f t="shared" si="34"/>
        <v>0</v>
      </c>
      <c r="BR29" s="105">
        <f t="shared" si="35"/>
        <v>0</v>
      </c>
      <c r="BS29" s="105">
        <f t="shared" si="36"/>
        <v>0</v>
      </c>
      <c r="BT29" s="105">
        <f t="shared" si="37"/>
        <v>1</v>
      </c>
      <c r="BU29" s="7">
        <f t="shared" si="38"/>
        <v>0</v>
      </c>
    </row>
    <row r="30" spans="1:73" s="9" customFormat="1" x14ac:dyDescent="0.25">
      <c r="A30" s="124" t="s">
        <v>98</v>
      </c>
      <c r="B30" s="125">
        <v>0</v>
      </c>
      <c r="C30" s="125">
        <v>3720.1468300000001</v>
      </c>
      <c r="D30" s="125">
        <v>0</v>
      </c>
      <c r="E30" s="126">
        <f t="shared" si="13"/>
        <v>0</v>
      </c>
      <c r="F30" s="127"/>
      <c r="G30" s="128">
        <f t="shared" si="40"/>
        <v>1</v>
      </c>
      <c r="H30" s="129">
        <f t="shared" si="0"/>
        <v>1</v>
      </c>
      <c r="I30" s="125">
        <v>0</v>
      </c>
      <c r="J30" s="130">
        <v>222689.23549000002</v>
      </c>
      <c r="K30" s="131">
        <v>173935.23549000002</v>
      </c>
      <c r="L30" s="125">
        <v>28019</v>
      </c>
      <c r="M30" s="125">
        <v>0</v>
      </c>
      <c r="N30" s="126">
        <f t="shared" si="15"/>
        <v>0</v>
      </c>
      <c r="O30" s="127"/>
      <c r="P30" s="128">
        <f t="shared" si="41"/>
        <v>1</v>
      </c>
      <c r="Q30" s="129">
        <f t="shared" si="2"/>
        <v>1</v>
      </c>
      <c r="R30" s="143">
        <v>0</v>
      </c>
      <c r="S30" s="125">
        <v>226409.38232</v>
      </c>
      <c r="T30" s="133">
        <v>103524.04622</v>
      </c>
      <c r="U30" s="126">
        <f t="shared" si="3"/>
        <v>0</v>
      </c>
      <c r="V30" s="127"/>
      <c r="W30" s="128">
        <f t="shared" si="42"/>
        <v>1</v>
      </c>
      <c r="X30" s="129">
        <f t="shared" si="16"/>
        <v>1</v>
      </c>
      <c r="Y30" s="125">
        <f t="shared" si="17"/>
        <v>3720.1468300000001</v>
      </c>
      <c r="Z30" s="134"/>
      <c r="AA30" s="134">
        <v>3720.1468300000001</v>
      </c>
      <c r="AB30" s="134"/>
      <c r="AC30" s="134">
        <f t="shared" si="5"/>
        <v>222689.23549000002</v>
      </c>
      <c r="AD30" s="134">
        <f t="shared" si="5"/>
        <v>173935.23549000002</v>
      </c>
      <c r="AE30" s="134">
        <f t="shared" si="5"/>
        <v>28019</v>
      </c>
      <c r="AF30" s="134">
        <f t="shared" si="18"/>
        <v>20735</v>
      </c>
      <c r="AG30" s="134">
        <f t="shared" si="46"/>
        <v>1036.75</v>
      </c>
      <c r="AH30" s="134">
        <f t="shared" si="39"/>
        <v>4756.8968299999997</v>
      </c>
      <c r="AI30" s="135">
        <f t="shared" si="8"/>
        <v>0</v>
      </c>
      <c r="AJ30" s="127"/>
      <c r="AK30" s="137">
        <f t="shared" si="43"/>
        <v>1.5</v>
      </c>
      <c r="AL30" s="129">
        <f t="shared" si="9"/>
        <v>1.5</v>
      </c>
      <c r="AM30" s="138">
        <v>11410.4</v>
      </c>
      <c r="AN30" s="128">
        <v>13089.6</v>
      </c>
      <c r="AO30" s="139">
        <f t="shared" si="10"/>
        <v>0.87171494927270499</v>
      </c>
      <c r="AP30" s="127"/>
      <c r="AQ30" s="137">
        <f t="shared" si="44"/>
        <v>1</v>
      </c>
      <c r="AR30" s="140">
        <f t="shared" si="21"/>
        <v>1</v>
      </c>
      <c r="AS30" s="138">
        <v>28498.2</v>
      </c>
      <c r="AT30" s="128">
        <v>32830.300000000003</v>
      </c>
      <c r="AU30" s="135">
        <f t="shared" si="22"/>
        <v>0.86804567731638149</v>
      </c>
      <c r="AV30" s="127"/>
      <c r="AW30" s="137">
        <f t="shared" si="45"/>
        <v>1</v>
      </c>
      <c r="AX30" s="140">
        <f t="shared" si="11"/>
        <v>1</v>
      </c>
      <c r="AY30" s="98"/>
      <c r="AZ30" s="99">
        <f t="shared" si="24"/>
        <v>0</v>
      </c>
      <c r="BA30" s="100">
        <f t="shared" si="25"/>
        <v>0</v>
      </c>
      <c r="BB30" s="98"/>
      <c r="BC30" s="99"/>
      <c r="BD30" s="100">
        <f t="shared" si="26"/>
        <v>0</v>
      </c>
      <c r="BE30" s="141">
        <f t="shared" si="27"/>
        <v>6.5</v>
      </c>
      <c r="BF30" s="142"/>
      <c r="BG30" s="103">
        <v>50833.507740000001</v>
      </c>
      <c r="BH30" s="7"/>
      <c r="BI30" s="104">
        <f t="shared" si="12"/>
        <v>0.825997842767493</v>
      </c>
      <c r="BJ30" s="7">
        <f t="shared" si="28"/>
        <v>0</v>
      </c>
      <c r="BK30" s="105">
        <f t="shared" si="29"/>
        <v>0</v>
      </c>
      <c r="BL30" s="105">
        <f t="shared" si="30"/>
        <v>0</v>
      </c>
      <c r="BM30" s="105">
        <f t="shared" si="31"/>
        <v>1</v>
      </c>
      <c r="BN30" s="7">
        <f t="shared" si="32"/>
        <v>0</v>
      </c>
      <c r="BP30" s="104">
        <f t="shared" si="33"/>
        <v>0.66170756932495567</v>
      </c>
      <c r="BQ30" s="7">
        <f t="shared" si="34"/>
        <v>0</v>
      </c>
      <c r="BR30" s="105">
        <f t="shared" si="35"/>
        <v>0</v>
      </c>
      <c r="BS30" s="105">
        <f t="shared" si="36"/>
        <v>0</v>
      </c>
      <c r="BT30" s="105">
        <f t="shared" si="37"/>
        <v>1</v>
      </c>
      <c r="BU30" s="7">
        <f t="shared" si="38"/>
        <v>0</v>
      </c>
    </row>
    <row r="31" spans="1:73" s="9" customFormat="1" x14ac:dyDescent="0.25">
      <c r="A31" s="124" t="s">
        <v>99</v>
      </c>
      <c r="B31" s="125">
        <v>0</v>
      </c>
      <c r="C31" s="125">
        <v>11238.45516</v>
      </c>
      <c r="D31" s="125">
        <v>0</v>
      </c>
      <c r="E31" s="126">
        <f t="shared" si="13"/>
        <v>0</v>
      </c>
      <c r="F31" s="127"/>
      <c r="G31" s="128">
        <f t="shared" si="40"/>
        <v>1</v>
      </c>
      <c r="H31" s="129">
        <f t="shared" si="0"/>
        <v>1</v>
      </c>
      <c r="I31" s="125">
        <v>0</v>
      </c>
      <c r="J31" s="130">
        <v>305991.77186000004</v>
      </c>
      <c r="K31" s="131">
        <v>219255.53186000002</v>
      </c>
      <c r="L31" s="125">
        <v>45809</v>
      </c>
      <c r="M31" s="125">
        <v>0</v>
      </c>
      <c r="N31" s="126">
        <f t="shared" si="15"/>
        <v>0</v>
      </c>
      <c r="O31" s="127"/>
      <c r="P31" s="128">
        <f t="shared" si="41"/>
        <v>1</v>
      </c>
      <c r="Q31" s="129">
        <f t="shared" si="2"/>
        <v>1</v>
      </c>
      <c r="R31" s="143">
        <v>0</v>
      </c>
      <c r="S31" s="125">
        <v>317230.22701999999</v>
      </c>
      <c r="T31" s="133">
        <v>123466.33553</v>
      </c>
      <c r="U31" s="126">
        <f t="shared" si="3"/>
        <v>0</v>
      </c>
      <c r="V31" s="127"/>
      <c r="W31" s="128">
        <f t="shared" si="42"/>
        <v>1</v>
      </c>
      <c r="X31" s="129">
        <f t="shared" si="16"/>
        <v>1</v>
      </c>
      <c r="Y31" s="125">
        <f t="shared" si="17"/>
        <v>11238.45516</v>
      </c>
      <c r="Z31" s="134"/>
      <c r="AA31" s="134">
        <v>11238.45516</v>
      </c>
      <c r="AB31" s="134"/>
      <c r="AC31" s="134">
        <f t="shared" si="5"/>
        <v>305991.77186000004</v>
      </c>
      <c r="AD31" s="134">
        <f t="shared" si="5"/>
        <v>219255.53186000002</v>
      </c>
      <c r="AE31" s="134">
        <f t="shared" si="5"/>
        <v>45809</v>
      </c>
      <c r="AF31" s="134">
        <f t="shared" si="18"/>
        <v>40927.24000000002</v>
      </c>
      <c r="AG31" s="134">
        <f t="shared" si="46"/>
        <v>2046.362000000001</v>
      </c>
      <c r="AH31" s="134">
        <f t="shared" si="39"/>
        <v>13284.817160000001</v>
      </c>
      <c r="AI31" s="135">
        <f t="shared" si="8"/>
        <v>0</v>
      </c>
      <c r="AJ31" s="127"/>
      <c r="AK31" s="137">
        <f t="shared" si="43"/>
        <v>1.5</v>
      </c>
      <c r="AL31" s="129">
        <f t="shared" si="9"/>
        <v>1.5</v>
      </c>
      <c r="AM31" s="138">
        <v>13453.1</v>
      </c>
      <c r="AN31" s="128">
        <v>14651.6</v>
      </c>
      <c r="AO31" s="139">
        <f t="shared" si="10"/>
        <v>0.91820006006169974</v>
      </c>
      <c r="AP31" s="127"/>
      <c r="AQ31" s="137">
        <f t="shared" si="44"/>
        <v>1</v>
      </c>
      <c r="AR31" s="140">
        <f t="shared" si="21"/>
        <v>1</v>
      </c>
      <c r="AS31" s="138">
        <v>33721.199999999997</v>
      </c>
      <c r="AT31" s="128">
        <v>36362.9</v>
      </c>
      <c r="AU31" s="135">
        <f t="shared" si="22"/>
        <v>0.92735177887352205</v>
      </c>
      <c r="AV31" s="127"/>
      <c r="AW31" s="137">
        <f t="shared" si="45"/>
        <v>1</v>
      </c>
      <c r="AX31" s="140">
        <f t="shared" si="11"/>
        <v>1</v>
      </c>
      <c r="AY31" s="98"/>
      <c r="AZ31" s="99">
        <f t="shared" si="24"/>
        <v>0</v>
      </c>
      <c r="BA31" s="100">
        <f t="shared" si="25"/>
        <v>0</v>
      </c>
      <c r="BB31" s="98"/>
      <c r="BC31" s="99"/>
      <c r="BD31" s="100">
        <f t="shared" si="26"/>
        <v>0</v>
      </c>
      <c r="BE31" s="141">
        <f t="shared" si="27"/>
        <v>6.5</v>
      </c>
      <c r="BF31" s="142"/>
      <c r="BG31" s="103">
        <v>44476.896000000001</v>
      </c>
      <c r="BH31" s="7"/>
      <c r="BI31" s="104">
        <f t="shared" si="12"/>
        <v>0.77577240288852167</v>
      </c>
      <c r="BJ31" s="7">
        <f t="shared" si="28"/>
        <v>0</v>
      </c>
      <c r="BK31" s="105">
        <f t="shared" si="29"/>
        <v>0</v>
      </c>
      <c r="BL31" s="105">
        <f t="shared" si="30"/>
        <v>0</v>
      </c>
      <c r="BM31" s="105">
        <f t="shared" si="31"/>
        <v>1</v>
      </c>
      <c r="BN31" s="7">
        <f t="shared" si="32"/>
        <v>0</v>
      </c>
      <c r="BP31" s="104">
        <f t="shared" si="33"/>
        <v>0.4946482956861204</v>
      </c>
      <c r="BQ31" s="7">
        <f t="shared" si="34"/>
        <v>0</v>
      </c>
      <c r="BR31" s="105">
        <f t="shared" si="35"/>
        <v>0</v>
      </c>
      <c r="BS31" s="105">
        <f t="shared" si="36"/>
        <v>1</v>
      </c>
      <c r="BT31" s="105">
        <f t="shared" si="37"/>
        <v>0</v>
      </c>
      <c r="BU31" s="7">
        <f t="shared" si="38"/>
        <v>0</v>
      </c>
    </row>
    <row r="32" spans="1:73" s="9" customFormat="1" x14ac:dyDescent="0.25">
      <c r="A32" s="124" t="s">
        <v>100</v>
      </c>
      <c r="B32" s="125">
        <v>0</v>
      </c>
      <c r="C32" s="125">
        <v>0</v>
      </c>
      <c r="D32" s="125">
        <v>0</v>
      </c>
      <c r="E32" s="126">
        <f t="shared" si="13"/>
        <v>0</v>
      </c>
      <c r="F32" s="127"/>
      <c r="G32" s="128">
        <f t="shared" si="40"/>
        <v>1</v>
      </c>
      <c r="H32" s="129">
        <f t="shared" si="0"/>
        <v>1</v>
      </c>
      <c r="I32" s="125">
        <v>0</v>
      </c>
      <c r="J32" s="130">
        <v>454915.02870999998</v>
      </c>
      <c r="K32" s="131">
        <v>349100.12870999996</v>
      </c>
      <c r="L32" s="125">
        <v>69637</v>
      </c>
      <c r="M32" s="125">
        <v>0</v>
      </c>
      <c r="N32" s="126">
        <f t="shared" si="15"/>
        <v>0</v>
      </c>
      <c r="O32" s="127"/>
      <c r="P32" s="128">
        <f>IF(N32&lt;=0.5,1,0)</f>
        <v>1</v>
      </c>
      <c r="Q32" s="129">
        <f>O32+P32</f>
        <v>1</v>
      </c>
      <c r="R32" s="143">
        <v>0</v>
      </c>
      <c r="S32" s="125">
        <v>454915.02870999998</v>
      </c>
      <c r="T32" s="133">
        <v>205169.18309000001</v>
      </c>
      <c r="U32" s="126">
        <f t="shared" si="3"/>
        <v>0</v>
      </c>
      <c r="V32" s="127"/>
      <c r="W32" s="128">
        <f t="shared" si="42"/>
        <v>1</v>
      </c>
      <c r="X32" s="129">
        <f t="shared" si="16"/>
        <v>1</v>
      </c>
      <c r="Y32" s="125">
        <f t="shared" si="17"/>
        <v>0</v>
      </c>
      <c r="Z32" s="134"/>
      <c r="AA32" s="134">
        <v>0</v>
      </c>
      <c r="AB32" s="134"/>
      <c r="AC32" s="134">
        <f t="shared" si="5"/>
        <v>454915.02870999998</v>
      </c>
      <c r="AD32" s="134">
        <f t="shared" si="5"/>
        <v>349100.12870999996</v>
      </c>
      <c r="AE32" s="134">
        <f t="shared" si="5"/>
        <v>69637</v>
      </c>
      <c r="AF32" s="134">
        <f t="shared" si="18"/>
        <v>36177.900000000023</v>
      </c>
      <c r="AG32" s="134">
        <f>AF32*10%</f>
        <v>3617.7900000000027</v>
      </c>
      <c r="AH32" s="134">
        <f t="shared" si="39"/>
        <v>3617.7900000000027</v>
      </c>
      <c r="AI32" s="135">
        <f t="shared" si="8"/>
        <v>0</v>
      </c>
      <c r="AJ32" s="136"/>
      <c r="AK32" s="137">
        <f t="shared" si="43"/>
        <v>1.5</v>
      </c>
      <c r="AL32" s="129">
        <f t="shared" si="9"/>
        <v>1.5</v>
      </c>
      <c r="AM32" s="138">
        <v>15534.6</v>
      </c>
      <c r="AN32" s="128">
        <v>17315.3</v>
      </c>
      <c r="AO32" s="139">
        <f t="shared" si="10"/>
        <v>0.89716031486604342</v>
      </c>
      <c r="AP32" s="136"/>
      <c r="AQ32" s="137">
        <f t="shared" si="44"/>
        <v>1</v>
      </c>
      <c r="AR32" s="140">
        <f t="shared" si="21"/>
        <v>1</v>
      </c>
      <c r="AS32" s="138">
        <v>35998.300000000003</v>
      </c>
      <c r="AT32" s="128">
        <v>41252.800000000003</v>
      </c>
      <c r="AU32" s="135">
        <f t="shared" si="22"/>
        <v>0.87262682775472211</v>
      </c>
      <c r="AV32" s="136"/>
      <c r="AW32" s="137">
        <f t="shared" si="45"/>
        <v>1</v>
      </c>
      <c r="AX32" s="140">
        <f t="shared" si="11"/>
        <v>1</v>
      </c>
      <c r="AY32" s="98"/>
      <c r="AZ32" s="99">
        <f t="shared" si="24"/>
        <v>0</v>
      </c>
      <c r="BA32" s="100">
        <f t="shared" si="25"/>
        <v>0</v>
      </c>
      <c r="BB32" s="98"/>
      <c r="BC32" s="99"/>
      <c r="BD32" s="100">
        <f t="shared" si="26"/>
        <v>0</v>
      </c>
      <c r="BE32" s="141">
        <f t="shared" si="27"/>
        <v>6.5</v>
      </c>
      <c r="BF32" s="142"/>
      <c r="BG32" s="103">
        <v>32919.396999999997</v>
      </c>
      <c r="BH32" s="7"/>
      <c r="BI32" s="104">
        <f t="shared" si="12"/>
        <v>0.85514113393883473</v>
      </c>
      <c r="BJ32" s="7">
        <f t="shared" si="28"/>
        <v>0</v>
      </c>
      <c r="BK32" s="105">
        <f t="shared" si="29"/>
        <v>0</v>
      </c>
      <c r="BL32" s="105">
        <f t="shared" si="30"/>
        <v>0</v>
      </c>
      <c r="BM32" s="105">
        <f t="shared" si="31"/>
        <v>1</v>
      </c>
      <c r="BN32" s="7">
        <f t="shared" si="32"/>
        <v>0</v>
      </c>
      <c r="BP32" s="104">
        <f t="shared" si="33"/>
        <v>0.41064305492410219</v>
      </c>
      <c r="BQ32" s="7">
        <f t="shared" si="34"/>
        <v>0</v>
      </c>
      <c r="BR32" s="105">
        <f t="shared" si="35"/>
        <v>0</v>
      </c>
      <c r="BS32" s="105">
        <f t="shared" si="36"/>
        <v>1</v>
      </c>
      <c r="BT32" s="105">
        <f t="shared" si="37"/>
        <v>0</v>
      </c>
      <c r="BU32" s="7">
        <f t="shared" si="38"/>
        <v>0</v>
      </c>
    </row>
    <row r="33" spans="1:73" s="9" customFormat="1" x14ac:dyDescent="0.25">
      <c r="A33" s="124" t="s">
        <v>101</v>
      </c>
      <c r="B33" s="125">
        <v>0</v>
      </c>
      <c r="C33" s="125">
        <v>4937.26199</v>
      </c>
      <c r="D33" s="125">
        <v>0</v>
      </c>
      <c r="E33" s="126">
        <f t="shared" si="13"/>
        <v>0</v>
      </c>
      <c r="F33" s="127"/>
      <c r="G33" s="128">
        <f t="shared" si="40"/>
        <v>1</v>
      </c>
      <c r="H33" s="129">
        <f t="shared" si="0"/>
        <v>1</v>
      </c>
      <c r="I33" s="125">
        <v>0</v>
      </c>
      <c r="J33" s="130">
        <v>518390.54555000004</v>
      </c>
      <c r="K33" s="131">
        <v>364017.54555000004</v>
      </c>
      <c r="L33" s="125">
        <v>106154</v>
      </c>
      <c r="M33" s="125">
        <v>0</v>
      </c>
      <c r="N33" s="126">
        <f t="shared" si="15"/>
        <v>0</v>
      </c>
      <c r="O33" s="127"/>
      <c r="P33" s="128">
        <f t="shared" si="41"/>
        <v>1</v>
      </c>
      <c r="Q33" s="129">
        <f t="shared" si="2"/>
        <v>1</v>
      </c>
      <c r="R33" s="143">
        <v>0</v>
      </c>
      <c r="S33" s="125">
        <v>523327.80754000001</v>
      </c>
      <c r="T33" s="133">
        <v>235984.77221999998</v>
      </c>
      <c r="U33" s="126">
        <f t="shared" si="3"/>
        <v>0</v>
      </c>
      <c r="V33" s="127"/>
      <c r="W33" s="128">
        <f t="shared" si="42"/>
        <v>1</v>
      </c>
      <c r="X33" s="129">
        <f t="shared" si="16"/>
        <v>1</v>
      </c>
      <c r="Y33" s="125">
        <f t="shared" si="17"/>
        <v>4937.26199</v>
      </c>
      <c r="Z33" s="134"/>
      <c r="AA33" s="134">
        <v>4937.26199</v>
      </c>
      <c r="AB33" s="134"/>
      <c r="AC33" s="134">
        <f t="shared" si="5"/>
        <v>518390.54555000004</v>
      </c>
      <c r="AD33" s="134">
        <f t="shared" si="5"/>
        <v>364017.54555000004</v>
      </c>
      <c r="AE33" s="134">
        <f t="shared" si="5"/>
        <v>106154</v>
      </c>
      <c r="AF33" s="134">
        <f t="shared" si="18"/>
        <v>48219</v>
      </c>
      <c r="AG33" s="134">
        <f t="shared" si="46"/>
        <v>2410.9500000000003</v>
      </c>
      <c r="AH33" s="134">
        <f t="shared" si="39"/>
        <v>7348.2119899999998</v>
      </c>
      <c r="AI33" s="135">
        <f t="shared" si="8"/>
        <v>0</v>
      </c>
      <c r="AJ33" s="127"/>
      <c r="AK33" s="137">
        <f t="shared" si="43"/>
        <v>1.5</v>
      </c>
      <c r="AL33" s="129">
        <f t="shared" si="9"/>
        <v>1.5</v>
      </c>
      <c r="AM33" s="138">
        <v>16811.5</v>
      </c>
      <c r="AN33" s="128">
        <v>17315.3</v>
      </c>
      <c r="AO33" s="139">
        <f>AM33/AN33</f>
        <v>0.97090434471247977</v>
      </c>
      <c r="AP33" s="127"/>
      <c r="AQ33" s="137">
        <f t="shared" si="44"/>
        <v>1</v>
      </c>
      <c r="AR33" s="140">
        <f t="shared" si="21"/>
        <v>1</v>
      </c>
      <c r="AS33" s="138">
        <v>41252.800000000003</v>
      </c>
      <c r="AT33" s="128">
        <v>41252.800000000003</v>
      </c>
      <c r="AU33" s="135">
        <f t="shared" si="22"/>
        <v>1</v>
      </c>
      <c r="AV33" s="127"/>
      <c r="AW33" s="137">
        <f t="shared" si="45"/>
        <v>1</v>
      </c>
      <c r="AX33" s="140">
        <f t="shared" si="11"/>
        <v>1</v>
      </c>
      <c r="AY33" s="98"/>
      <c r="AZ33" s="99">
        <f t="shared" si="24"/>
        <v>0</v>
      </c>
      <c r="BA33" s="100">
        <f t="shared" si="25"/>
        <v>0</v>
      </c>
      <c r="BB33" s="98"/>
      <c r="BC33" s="99"/>
      <c r="BD33" s="100">
        <f t="shared" si="26"/>
        <v>0</v>
      </c>
      <c r="BE33" s="141">
        <f t="shared" si="27"/>
        <v>6.5</v>
      </c>
      <c r="BF33" s="142"/>
      <c r="BG33" s="103">
        <v>65081.662590000007</v>
      </c>
      <c r="BH33" s="7"/>
      <c r="BI33" s="104">
        <f t="shared" si="12"/>
        <v>0.8292563235112953</v>
      </c>
      <c r="BJ33" s="7">
        <f t="shared" si="28"/>
        <v>0</v>
      </c>
      <c r="BK33" s="105">
        <f t="shared" si="29"/>
        <v>0</v>
      </c>
      <c r="BL33" s="105">
        <f t="shared" si="30"/>
        <v>0</v>
      </c>
      <c r="BM33" s="105">
        <f t="shared" si="31"/>
        <v>1</v>
      </c>
      <c r="BN33" s="7">
        <f t="shared" si="32"/>
        <v>0</v>
      </c>
      <c r="BP33" s="104">
        <f t="shared" si="33"/>
        <v>0.60634618255451089</v>
      </c>
      <c r="BQ33" s="7">
        <f t="shared" si="34"/>
        <v>0</v>
      </c>
      <c r="BR33" s="105">
        <f t="shared" si="35"/>
        <v>0</v>
      </c>
      <c r="BS33" s="105">
        <f t="shared" si="36"/>
        <v>0</v>
      </c>
      <c r="BT33" s="105">
        <f t="shared" si="37"/>
        <v>1</v>
      </c>
      <c r="BU33" s="7">
        <f t="shared" si="38"/>
        <v>0</v>
      </c>
    </row>
    <row r="34" spans="1:73" s="9" customFormat="1" x14ac:dyDescent="0.25">
      <c r="A34" s="124" t="s">
        <v>102</v>
      </c>
      <c r="B34" s="125">
        <v>0</v>
      </c>
      <c r="C34" s="125">
        <v>17630.824399999998</v>
      </c>
      <c r="D34" s="125">
        <v>0</v>
      </c>
      <c r="E34" s="126">
        <f>IF(AND(B34=0,D34=0),0,B34/(IF(C34&gt;0,C34,0)+D34))</f>
        <v>0</v>
      </c>
      <c r="F34" s="127"/>
      <c r="G34" s="128">
        <f t="shared" si="40"/>
        <v>1</v>
      </c>
      <c r="H34" s="129">
        <f>F34+G34</f>
        <v>1</v>
      </c>
      <c r="I34" s="125">
        <v>0</v>
      </c>
      <c r="J34" s="130">
        <v>958655.27210000006</v>
      </c>
      <c r="K34" s="131">
        <v>801106.27210000006</v>
      </c>
      <c r="L34" s="125">
        <v>100134</v>
      </c>
      <c r="M34" s="125">
        <v>0</v>
      </c>
      <c r="N34" s="126">
        <f>(I34-M34)/(J34-K34-L34)</f>
        <v>0</v>
      </c>
      <c r="O34" s="127"/>
      <c r="P34" s="128">
        <f t="shared" si="41"/>
        <v>1</v>
      </c>
      <c r="Q34" s="129">
        <f>O34+P34</f>
        <v>1</v>
      </c>
      <c r="R34" s="143">
        <v>0</v>
      </c>
      <c r="S34" s="125">
        <v>976286.09649999999</v>
      </c>
      <c r="T34" s="133">
        <v>362230.59822000004</v>
      </c>
      <c r="U34" s="126">
        <f>R34/(S34-T34)</f>
        <v>0</v>
      </c>
      <c r="V34" s="127"/>
      <c r="W34" s="128">
        <f t="shared" si="42"/>
        <v>1</v>
      </c>
      <c r="X34" s="129">
        <f t="shared" si="16"/>
        <v>1</v>
      </c>
      <c r="Y34" s="125">
        <f t="shared" si="17"/>
        <v>17630.824399999998</v>
      </c>
      <c r="Z34" s="134"/>
      <c r="AA34" s="134">
        <v>17630.824399999998</v>
      </c>
      <c r="AB34" s="134"/>
      <c r="AC34" s="134">
        <f t="shared" si="5"/>
        <v>958655.27210000006</v>
      </c>
      <c r="AD34" s="134">
        <f t="shared" si="5"/>
        <v>801106.27210000006</v>
      </c>
      <c r="AE34" s="134">
        <f t="shared" si="5"/>
        <v>100134</v>
      </c>
      <c r="AF34" s="134">
        <f>AC34-AD34-AE34</f>
        <v>57415</v>
      </c>
      <c r="AG34" s="134">
        <f>AF34*10%</f>
        <v>5741.5</v>
      </c>
      <c r="AH34" s="134">
        <f>IF(AA34&gt;0,AA34,0)+AG34+IF(AB34&gt;0,AB34,0)</f>
        <v>23372.324399999998</v>
      </c>
      <c r="AI34" s="135">
        <f t="shared" si="8"/>
        <v>0</v>
      </c>
      <c r="AJ34" s="136"/>
      <c r="AK34" s="137">
        <f t="shared" si="43"/>
        <v>1.5</v>
      </c>
      <c r="AL34" s="129">
        <f>AJ34+AK34</f>
        <v>1.5</v>
      </c>
      <c r="AM34" s="138">
        <v>19223.900000000001</v>
      </c>
      <c r="AN34" s="128">
        <v>20866.099999999999</v>
      </c>
      <c r="AO34" s="139">
        <f>AM34/AN34</f>
        <v>0.92129818221900606</v>
      </c>
      <c r="AP34" s="136"/>
      <c r="AQ34" s="137">
        <f t="shared" si="44"/>
        <v>1</v>
      </c>
      <c r="AR34" s="140">
        <f>AP34+AQ34</f>
        <v>1</v>
      </c>
      <c r="AS34" s="138">
        <v>43937.2</v>
      </c>
      <c r="AT34" s="128">
        <v>47892.9</v>
      </c>
      <c r="AU34" s="135">
        <f t="shared" si="22"/>
        <v>0.9174052938953372</v>
      </c>
      <c r="AV34" s="136"/>
      <c r="AW34" s="137">
        <f t="shared" si="45"/>
        <v>1</v>
      </c>
      <c r="AX34" s="140">
        <f t="shared" si="11"/>
        <v>1</v>
      </c>
      <c r="AY34" s="98"/>
      <c r="AZ34" s="99">
        <f t="shared" si="24"/>
        <v>0</v>
      </c>
      <c r="BA34" s="100">
        <f t="shared" si="25"/>
        <v>0</v>
      </c>
      <c r="BB34" s="98"/>
      <c r="BC34" s="99"/>
      <c r="BD34" s="100">
        <f t="shared" si="26"/>
        <v>0</v>
      </c>
      <c r="BE34" s="141">
        <f t="shared" si="27"/>
        <v>6.5</v>
      </c>
      <c r="BF34" s="142"/>
      <c r="BG34" s="103">
        <v>83110.524000000005</v>
      </c>
      <c r="BH34" s="7"/>
      <c r="BI34" s="104">
        <f t="shared" si="12"/>
        <v>0.90373470026568381</v>
      </c>
      <c r="BJ34" s="7">
        <f t="shared" si="28"/>
        <v>0</v>
      </c>
      <c r="BK34" s="105">
        <f t="shared" si="29"/>
        <v>0</v>
      </c>
      <c r="BL34" s="105">
        <f t="shared" si="30"/>
        <v>0</v>
      </c>
      <c r="BM34" s="105">
        <f t="shared" si="31"/>
        <v>0</v>
      </c>
      <c r="BN34" s="7">
        <f t="shared" si="32"/>
        <v>1</v>
      </c>
      <c r="BP34" s="104">
        <f t="shared" si="33"/>
        <v>0.30723833540942441</v>
      </c>
      <c r="BQ34" s="7">
        <f t="shared" si="34"/>
        <v>0</v>
      </c>
      <c r="BR34" s="105">
        <f t="shared" si="35"/>
        <v>0</v>
      </c>
      <c r="BS34" s="105">
        <f t="shared" si="36"/>
        <v>1</v>
      </c>
      <c r="BT34" s="105">
        <f t="shared" si="37"/>
        <v>0</v>
      </c>
      <c r="BU34" s="7">
        <f t="shared" si="38"/>
        <v>0</v>
      </c>
    </row>
    <row r="35" spans="1:73" s="9" customFormat="1" x14ac:dyDescent="0.25">
      <c r="A35" s="124" t="s">
        <v>103</v>
      </c>
      <c r="B35" s="125">
        <v>0</v>
      </c>
      <c r="C35" s="125">
        <v>3867.5303799999997</v>
      </c>
      <c r="D35" s="125">
        <v>0</v>
      </c>
      <c r="E35" s="126">
        <f t="shared" si="13"/>
        <v>0</v>
      </c>
      <c r="F35" s="127"/>
      <c r="G35" s="128">
        <f t="shared" si="40"/>
        <v>1</v>
      </c>
      <c r="H35" s="129">
        <f t="shared" si="0"/>
        <v>1</v>
      </c>
      <c r="I35" s="125">
        <v>0</v>
      </c>
      <c r="J35" s="130">
        <v>178890.38377000001</v>
      </c>
      <c r="K35" s="131">
        <v>128760.38377</v>
      </c>
      <c r="L35" s="125">
        <v>24682</v>
      </c>
      <c r="M35" s="125">
        <v>0</v>
      </c>
      <c r="N35" s="126">
        <f t="shared" si="15"/>
        <v>0</v>
      </c>
      <c r="O35" s="127"/>
      <c r="P35" s="128">
        <f t="shared" si="41"/>
        <v>1</v>
      </c>
      <c r="Q35" s="129">
        <f t="shared" si="2"/>
        <v>1</v>
      </c>
      <c r="R35" s="143">
        <v>0</v>
      </c>
      <c r="S35" s="125">
        <v>182757.91415</v>
      </c>
      <c r="T35" s="133">
        <v>68918.346099999995</v>
      </c>
      <c r="U35" s="126">
        <f t="shared" si="3"/>
        <v>0</v>
      </c>
      <c r="V35" s="127"/>
      <c r="W35" s="128">
        <f t="shared" si="42"/>
        <v>1</v>
      </c>
      <c r="X35" s="129">
        <f t="shared" si="16"/>
        <v>1</v>
      </c>
      <c r="Y35" s="125">
        <f t="shared" si="17"/>
        <v>3867.5303799999997</v>
      </c>
      <c r="Z35" s="134"/>
      <c r="AA35" s="134">
        <v>3867.5303799999997</v>
      </c>
      <c r="AB35" s="134"/>
      <c r="AC35" s="134">
        <f t="shared" si="5"/>
        <v>178890.38377000001</v>
      </c>
      <c r="AD35" s="134">
        <f t="shared" si="5"/>
        <v>128760.38377</v>
      </c>
      <c r="AE35" s="134">
        <f t="shared" si="5"/>
        <v>24682</v>
      </c>
      <c r="AF35" s="134">
        <f t="shared" si="18"/>
        <v>25448.000000000015</v>
      </c>
      <c r="AG35" s="134">
        <f t="shared" ref="AG35:AG40" si="47">AF35*5%</f>
        <v>1272.4000000000008</v>
      </c>
      <c r="AH35" s="134">
        <f t="shared" si="39"/>
        <v>5139.9303800000007</v>
      </c>
      <c r="AI35" s="135">
        <f t="shared" si="8"/>
        <v>0</v>
      </c>
      <c r="AJ35" s="136"/>
      <c r="AK35" s="137">
        <f t="shared" si="43"/>
        <v>1.5</v>
      </c>
      <c r="AL35" s="129">
        <f t="shared" si="9"/>
        <v>1.5</v>
      </c>
      <c r="AM35" s="138">
        <v>8969.7999999999993</v>
      </c>
      <c r="AN35" s="128">
        <v>12006.7</v>
      </c>
      <c r="AO35" s="139">
        <f t="shared" si="10"/>
        <v>0.74706622135974066</v>
      </c>
      <c r="AP35" s="136"/>
      <c r="AQ35" s="137">
        <f t="shared" si="44"/>
        <v>1</v>
      </c>
      <c r="AR35" s="140">
        <f>AP35+AQ35</f>
        <v>1</v>
      </c>
      <c r="AS35" s="138">
        <v>25522.3</v>
      </c>
      <c r="AT35" s="128">
        <v>30410.2</v>
      </c>
      <c r="AU35" s="135">
        <f t="shared" si="22"/>
        <v>0.83926774569059059</v>
      </c>
      <c r="AV35" s="136"/>
      <c r="AW35" s="137">
        <f t="shared" si="45"/>
        <v>1</v>
      </c>
      <c r="AX35" s="140">
        <f t="shared" si="11"/>
        <v>1</v>
      </c>
      <c r="AY35" s="98"/>
      <c r="AZ35" s="99">
        <f t="shared" si="24"/>
        <v>0</v>
      </c>
      <c r="BA35" s="100">
        <f t="shared" si="25"/>
        <v>0</v>
      </c>
      <c r="BB35" s="98"/>
      <c r="BC35" s="99"/>
      <c r="BD35" s="100">
        <f t="shared" si="26"/>
        <v>0</v>
      </c>
      <c r="BE35" s="141">
        <f t="shared" si="27"/>
        <v>6.5</v>
      </c>
      <c r="BF35" s="142"/>
      <c r="BG35" s="103">
        <v>14925.824000000001</v>
      </c>
      <c r="BH35" s="7"/>
      <c r="BI35" s="104">
        <f t="shared" si="12"/>
        <v>0.76859572179281244</v>
      </c>
      <c r="BJ35" s="7">
        <f t="shared" si="28"/>
        <v>0</v>
      </c>
      <c r="BK35" s="105">
        <f t="shared" si="29"/>
        <v>0</v>
      </c>
      <c r="BL35" s="105">
        <f t="shared" si="30"/>
        <v>0</v>
      </c>
      <c r="BM35" s="105">
        <f t="shared" si="31"/>
        <v>1</v>
      </c>
      <c r="BN35" s="7">
        <f t="shared" si="32"/>
        <v>0</v>
      </c>
      <c r="BP35" s="104">
        <f t="shared" si="33"/>
        <v>0.36016268170690513</v>
      </c>
      <c r="BQ35" s="7">
        <f t="shared" si="34"/>
        <v>0</v>
      </c>
      <c r="BR35" s="105">
        <f t="shared" si="35"/>
        <v>0</v>
      </c>
      <c r="BS35" s="105">
        <f t="shared" si="36"/>
        <v>1</v>
      </c>
      <c r="BT35" s="105">
        <f t="shared" si="37"/>
        <v>0</v>
      </c>
      <c r="BU35" s="7">
        <f t="shared" si="38"/>
        <v>0</v>
      </c>
    </row>
    <row r="36" spans="1:73" s="9" customFormat="1" x14ac:dyDescent="0.25">
      <c r="A36" s="124" t="s">
        <v>104</v>
      </c>
      <c r="B36" s="125">
        <v>0</v>
      </c>
      <c r="C36" s="125">
        <v>0</v>
      </c>
      <c r="D36" s="125">
        <v>0</v>
      </c>
      <c r="E36" s="126">
        <f>IF(AND(B36=0,D36=0),0,B36/(IF(C36&gt;0,C36,0)+D36))</f>
        <v>0</v>
      </c>
      <c r="F36" s="127"/>
      <c r="G36" s="128">
        <f>IF(E36&lt;=1.05,1,0)</f>
        <v>1</v>
      </c>
      <c r="H36" s="129">
        <f>F36+G36</f>
        <v>1</v>
      </c>
      <c r="I36" s="125">
        <v>0</v>
      </c>
      <c r="J36" s="130">
        <v>295284.48037</v>
      </c>
      <c r="K36" s="131">
        <v>212886.74236999999</v>
      </c>
      <c r="L36" s="125">
        <v>42619</v>
      </c>
      <c r="M36" s="125">
        <v>0</v>
      </c>
      <c r="N36" s="126">
        <f>(I36-M36)/(J36-K36-L36)</f>
        <v>0</v>
      </c>
      <c r="O36" s="127"/>
      <c r="P36" s="128">
        <f>IF(N36&lt;=0.5,1,0)</f>
        <v>1</v>
      </c>
      <c r="Q36" s="129">
        <f>O36+P36</f>
        <v>1</v>
      </c>
      <c r="R36" s="143">
        <v>0</v>
      </c>
      <c r="S36" s="125">
        <v>295284.48037</v>
      </c>
      <c r="T36" s="133">
        <v>124047.79445</v>
      </c>
      <c r="U36" s="126">
        <f>R36/(S36-T36)</f>
        <v>0</v>
      </c>
      <c r="V36" s="127"/>
      <c r="W36" s="128">
        <f>IF(U36&lt;=0.15,1,0)</f>
        <v>1</v>
      </c>
      <c r="X36" s="129">
        <f>V36+W36</f>
        <v>1</v>
      </c>
      <c r="Y36" s="125">
        <f t="shared" si="17"/>
        <v>0</v>
      </c>
      <c r="Z36" s="134"/>
      <c r="AA36" s="134">
        <v>0</v>
      </c>
      <c r="AB36" s="134"/>
      <c r="AC36" s="134">
        <f>J36</f>
        <v>295284.48037</v>
      </c>
      <c r="AD36" s="134">
        <f>K36</f>
        <v>212886.74236999999</v>
      </c>
      <c r="AE36" s="134">
        <f>L36</f>
        <v>42619</v>
      </c>
      <c r="AF36" s="134">
        <f>AC36-AD36-AE36</f>
        <v>39778.738000000012</v>
      </c>
      <c r="AG36" s="134">
        <f>AF36*5%</f>
        <v>1988.9369000000006</v>
      </c>
      <c r="AH36" s="134">
        <f>IF(AA36&gt;0,AA36,0)+AG36+IF(AB36&gt;0,AB36,0)</f>
        <v>1988.9369000000006</v>
      </c>
      <c r="AI36" s="135">
        <f>IF((Y36-IF(Z36&gt;0,Z36,0)-IF(AA36&gt;0,AA36,0)-IF(AB36&gt;0,AB36,0))/(AC36-AD36-AE36)&gt;0,(Y36-IF(Z36&gt;0,Z36,0)-IF(AA36&gt;0,AA36,0)-IF(AB36&gt;0,AB36,0))/(AC36-AD36-AE36),0)</f>
        <v>0</v>
      </c>
      <c r="AJ36" s="136"/>
      <c r="AK36" s="137">
        <f>IF(AI36&lt;=0.05,1.5,0)</f>
        <v>1.5</v>
      </c>
      <c r="AL36" s="129">
        <f>AJ36+AK36</f>
        <v>1.5</v>
      </c>
      <c r="AM36" s="138">
        <v>14206.3</v>
      </c>
      <c r="AN36" s="128">
        <v>14651.6</v>
      </c>
      <c r="AO36" s="139">
        <f>AM36/AN36</f>
        <v>0.96960741488984126</v>
      </c>
      <c r="AP36" s="136"/>
      <c r="AQ36" s="137">
        <f>IF(AO36&lt;=1,1,0)</f>
        <v>1</v>
      </c>
      <c r="AR36" s="140">
        <f>AP36+AQ36</f>
        <v>1</v>
      </c>
      <c r="AS36" s="138">
        <v>31743.9</v>
      </c>
      <c r="AT36" s="128">
        <v>36362.9</v>
      </c>
      <c r="AU36" s="135">
        <f>AS36/AT36</f>
        <v>0.8729749277422868</v>
      </c>
      <c r="AV36" s="136"/>
      <c r="AW36" s="137">
        <f>IF(AU36&lt;=1,1,0)</f>
        <v>1</v>
      </c>
      <c r="AX36" s="140">
        <f>AV36+AW36</f>
        <v>1</v>
      </c>
      <c r="AY36" s="98"/>
      <c r="AZ36" s="99">
        <f t="shared" si="24"/>
        <v>0</v>
      </c>
      <c r="BA36" s="100">
        <f t="shared" si="25"/>
        <v>0</v>
      </c>
      <c r="BB36" s="98"/>
      <c r="BC36" s="99"/>
      <c r="BD36" s="100">
        <f t="shared" si="26"/>
        <v>0</v>
      </c>
      <c r="BE36" s="141">
        <f t="shared" si="27"/>
        <v>6.5</v>
      </c>
      <c r="BF36" s="110"/>
      <c r="BG36" s="103">
        <v>56325.591999999997</v>
      </c>
      <c r="BH36" s="7"/>
      <c r="BI36" s="104">
        <f t="shared" si="12"/>
        <v>0.76769733783224336</v>
      </c>
      <c r="BJ36" s="7">
        <f t="shared" si="28"/>
        <v>0</v>
      </c>
      <c r="BK36" s="105">
        <f t="shared" si="29"/>
        <v>0</v>
      </c>
      <c r="BL36" s="105">
        <f t="shared" si="30"/>
        <v>0</v>
      </c>
      <c r="BM36" s="105">
        <f t="shared" si="31"/>
        <v>1</v>
      </c>
      <c r="BN36" s="7">
        <f t="shared" si="32"/>
        <v>0</v>
      </c>
      <c r="BP36" s="104">
        <f t="shared" si="33"/>
        <v>0.57782356314829564</v>
      </c>
      <c r="BQ36" s="7">
        <f t="shared" si="34"/>
        <v>0</v>
      </c>
      <c r="BR36" s="105">
        <f t="shared" si="35"/>
        <v>0</v>
      </c>
      <c r="BS36" s="105">
        <f t="shared" si="36"/>
        <v>0</v>
      </c>
      <c r="BT36" s="105">
        <f t="shared" si="37"/>
        <v>1</v>
      </c>
      <c r="BU36" s="7">
        <f t="shared" si="38"/>
        <v>0</v>
      </c>
    </row>
    <row r="37" spans="1:73" s="9" customFormat="1" x14ac:dyDescent="0.25">
      <c r="A37" s="113" t="s">
        <v>105</v>
      </c>
      <c r="B37" s="76">
        <v>0</v>
      </c>
      <c r="C37" s="76">
        <v>9659.0222699999995</v>
      </c>
      <c r="D37" s="76">
        <v>0</v>
      </c>
      <c r="E37" s="84">
        <f t="shared" si="13"/>
        <v>0</v>
      </c>
      <c r="F37" s="107">
        <f>IF(E37&lt;=1.05,1,0)</f>
        <v>1</v>
      </c>
      <c r="G37" s="92"/>
      <c r="H37" s="93">
        <f t="shared" si="0"/>
        <v>1</v>
      </c>
      <c r="I37" s="76">
        <v>0</v>
      </c>
      <c r="J37" s="81">
        <v>430832.42913</v>
      </c>
      <c r="K37" s="82">
        <v>297872.42913</v>
      </c>
      <c r="L37" s="76">
        <v>55680</v>
      </c>
      <c r="M37" s="76">
        <v>0</v>
      </c>
      <c r="N37" s="84">
        <f t="shared" si="15"/>
        <v>0</v>
      </c>
      <c r="O37" s="107">
        <f>IF(N37&lt;=1,1,0)</f>
        <v>1</v>
      </c>
      <c r="P37" s="92"/>
      <c r="Q37" s="93">
        <f t="shared" si="2"/>
        <v>1</v>
      </c>
      <c r="R37" s="108">
        <v>0</v>
      </c>
      <c r="S37" s="76">
        <v>440491.45139999996</v>
      </c>
      <c r="T37" s="86">
        <v>154386.07131</v>
      </c>
      <c r="U37" s="84">
        <f t="shared" si="3"/>
        <v>0</v>
      </c>
      <c r="V37" s="107">
        <f>IF(U37&lt;=0.15,1,0)</f>
        <v>1</v>
      </c>
      <c r="W37" s="92"/>
      <c r="X37" s="93">
        <f t="shared" si="16"/>
        <v>1</v>
      </c>
      <c r="Y37" s="76">
        <f t="shared" si="17"/>
        <v>9659.0222699999995</v>
      </c>
      <c r="Z37" s="88"/>
      <c r="AA37" s="88">
        <v>9659.0222699999995</v>
      </c>
      <c r="AB37" s="88"/>
      <c r="AC37" s="88">
        <f t="shared" si="5"/>
        <v>430832.42913</v>
      </c>
      <c r="AD37" s="88">
        <f t="shared" si="5"/>
        <v>297872.42913</v>
      </c>
      <c r="AE37" s="88">
        <f t="shared" si="5"/>
        <v>55680</v>
      </c>
      <c r="AF37" s="88">
        <f t="shared" si="18"/>
        <v>77280</v>
      </c>
      <c r="AG37" s="88">
        <f t="shared" si="47"/>
        <v>3864</v>
      </c>
      <c r="AH37" s="88">
        <f t="shared" si="39"/>
        <v>13523.022269999999</v>
      </c>
      <c r="AI37" s="112">
        <f t="shared" si="8"/>
        <v>0</v>
      </c>
      <c r="AJ37" s="91">
        <f>IF(AI37&lt;=0.1,1.5,0)</f>
        <v>1.5</v>
      </c>
      <c r="AK37" s="114"/>
      <c r="AL37" s="93">
        <f t="shared" si="9"/>
        <v>1.5</v>
      </c>
      <c r="AM37" s="94">
        <v>13609.1</v>
      </c>
      <c r="AN37" s="92">
        <v>13609.1</v>
      </c>
      <c r="AO37" s="111">
        <f t="shared" si="10"/>
        <v>1</v>
      </c>
      <c r="AP37" s="91">
        <f>IF(AO37&lt;=1,1,0)</f>
        <v>1</v>
      </c>
      <c r="AQ37" s="114"/>
      <c r="AR37" s="115">
        <f t="shared" si="21"/>
        <v>1</v>
      </c>
      <c r="AS37" s="94">
        <v>31178.2</v>
      </c>
      <c r="AT37" s="92">
        <v>32254.7</v>
      </c>
      <c r="AU37" s="112">
        <f t="shared" si="22"/>
        <v>0.96662501898948061</v>
      </c>
      <c r="AV37" s="91">
        <f>IF(AU37&lt;=1,1,0)</f>
        <v>1</v>
      </c>
      <c r="AW37" s="114"/>
      <c r="AX37" s="115">
        <f t="shared" si="11"/>
        <v>1</v>
      </c>
      <c r="AY37" s="98"/>
      <c r="AZ37" s="99">
        <f t="shared" si="24"/>
        <v>0</v>
      </c>
      <c r="BA37" s="100">
        <f t="shared" si="25"/>
        <v>0</v>
      </c>
      <c r="BB37" s="98"/>
      <c r="BC37" s="99"/>
      <c r="BD37" s="100">
        <f t="shared" si="26"/>
        <v>0</v>
      </c>
      <c r="BE37" s="109">
        <f t="shared" si="27"/>
        <v>6.5</v>
      </c>
      <c r="BF37" s="142"/>
      <c r="BG37" s="103">
        <v>19553.02</v>
      </c>
      <c r="BH37" s="7"/>
      <c r="BI37" s="104">
        <f t="shared" si="12"/>
        <v>0.72045209562746837</v>
      </c>
      <c r="BJ37" s="7">
        <f t="shared" si="28"/>
        <v>0</v>
      </c>
      <c r="BK37" s="105">
        <f t="shared" si="29"/>
        <v>0</v>
      </c>
      <c r="BL37" s="105">
        <f t="shared" si="30"/>
        <v>0</v>
      </c>
      <c r="BM37" s="105">
        <f t="shared" si="31"/>
        <v>1</v>
      </c>
      <c r="BN37" s="7">
        <f t="shared" si="32"/>
        <v>0</v>
      </c>
      <c r="BP37" s="104">
        <f t="shared" si="33"/>
        <v>0.27214328520466813</v>
      </c>
      <c r="BQ37" s="7">
        <f t="shared" si="34"/>
        <v>0</v>
      </c>
      <c r="BR37" s="105">
        <f t="shared" si="35"/>
        <v>0</v>
      </c>
      <c r="BS37" s="105">
        <f t="shared" si="36"/>
        <v>1</v>
      </c>
      <c r="BT37" s="105">
        <f t="shared" si="37"/>
        <v>0</v>
      </c>
      <c r="BU37" s="7">
        <f t="shared" si="38"/>
        <v>0</v>
      </c>
    </row>
    <row r="38" spans="1:73" s="9" customFormat="1" x14ac:dyDescent="0.25">
      <c r="A38" s="124" t="s">
        <v>106</v>
      </c>
      <c r="B38" s="125">
        <v>0</v>
      </c>
      <c r="C38" s="125">
        <v>6903.9525800000001</v>
      </c>
      <c r="D38" s="125">
        <v>0</v>
      </c>
      <c r="E38" s="126">
        <f t="shared" si="13"/>
        <v>0</v>
      </c>
      <c r="F38" s="127"/>
      <c r="G38" s="128">
        <f t="shared" si="40"/>
        <v>1</v>
      </c>
      <c r="H38" s="129">
        <f t="shared" si="0"/>
        <v>1</v>
      </c>
      <c r="I38" s="125">
        <v>0</v>
      </c>
      <c r="J38" s="130">
        <v>332105.35339</v>
      </c>
      <c r="K38" s="131">
        <v>218845.63538999998</v>
      </c>
      <c r="L38" s="125">
        <v>56036.608695652169</v>
      </c>
      <c r="M38" s="125">
        <v>0</v>
      </c>
      <c r="N38" s="126">
        <f t="shared" si="15"/>
        <v>0</v>
      </c>
      <c r="O38" s="127"/>
      <c r="P38" s="128">
        <f t="shared" si="41"/>
        <v>1</v>
      </c>
      <c r="Q38" s="129">
        <f t="shared" si="2"/>
        <v>1</v>
      </c>
      <c r="R38" s="143">
        <v>0</v>
      </c>
      <c r="S38" s="125">
        <v>339009.30597000004</v>
      </c>
      <c r="T38" s="133">
        <v>124311.14873</v>
      </c>
      <c r="U38" s="126">
        <f t="shared" si="3"/>
        <v>0</v>
      </c>
      <c r="V38" s="127"/>
      <c r="W38" s="128">
        <f t="shared" si="42"/>
        <v>1</v>
      </c>
      <c r="X38" s="129">
        <f t="shared" si="16"/>
        <v>1</v>
      </c>
      <c r="Y38" s="125">
        <f t="shared" si="17"/>
        <v>6903.9525800000001</v>
      </c>
      <c r="Z38" s="134"/>
      <c r="AA38" s="134">
        <v>6903.9525800000001</v>
      </c>
      <c r="AB38" s="134"/>
      <c r="AC38" s="134">
        <f t="shared" si="5"/>
        <v>332105.35339</v>
      </c>
      <c r="AD38" s="134">
        <f t="shared" si="5"/>
        <v>218845.63538999998</v>
      </c>
      <c r="AE38" s="134">
        <f t="shared" si="5"/>
        <v>56036.608695652169</v>
      </c>
      <c r="AF38" s="134">
        <f t="shared" si="18"/>
        <v>57223.109304347854</v>
      </c>
      <c r="AG38" s="134">
        <f t="shared" si="47"/>
        <v>2861.1554652173927</v>
      </c>
      <c r="AH38" s="134">
        <f t="shared" si="39"/>
        <v>9765.1080452173919</v>
      </c>
      <c r="AI38" s="135">
        <f t="shared" si="8"/>
        <v>0</v>
      </c>
      <c r="AJ38" s="127"/>
      <c r="AK38" s="137">
        <f>IF(AI38&lt;=0.05,1.5,0)</f>
        <v>1.5</v>
      </c>
      <c r="AL38" s="129">
        <f t="shared" si="9"/>
        <v>1.5</v>
      </c>
      <c r="AM38" s="138">
        <v>13063.3</v>
      </c>
      <c r="AN38" s="128">
        <v>14651.6</v>
      </c>
      <c r="AO38" s="139">
        <f t="shared" si="10"/>
        <v>0.89159545715143729</v>
      </c>
      <c r="AP38" s="127"/>
      <c r="AQ38" s="137">
        <f>IF(AO38&lt;=1,1,0)</f>
        <v>1</v>
      </c>
      <c r="AR38" s="140">
        <f t="shared" si="21"/>
        <v>1</v>
      </c>
      <c r="AS38" s="138">
        <v>35047.9</v>
      </c>
      <c r="AT38" s="128">
        <v>36362.9</v>
      </c>
      <c r="AU38" s="135">
        <f t="shared" si="22"/>
        <v>0.96383676769454585</v>
      </c>
      <c r="AV38" s="127"/>
      <c r="AW38" s="137">
        <f>IF(AU38&lt;=1,1,0)</f>
        <v>1</v>
      </c>
      <c r="AX38" s="140">
        <f t="shared" si="11"/>
        <v>1</v>
      </c>
      <c r="AY38" s="98"/>
      <c r="AZ38" s="99">
        <f t="shared" si="24"/>
        <v>0</v>
      </c>
      <c r="BA38" s="100">
        <f t="shared" si="25"/>
        <v>0</v>
      </c>
      <c r="BB38" s="98"/>
      <c r="BC38" s="99"/>
      <c r="BD38" s="100">
        <f t="shared" si="26"/>
        <v>0</v>
      </c>
      <c r="BE38" s="141">
        <f t="shared" si="27"/>
        <v>6.5</v>
      </c>
      <c r="BF38" s="142"/>
      <c r="BG38" s="103">
        <v>49196.446000000004</v>
      </c>
      <c r="BH38" s="7"/>
      <c r="BI38" s="104">
        <f t="shared" si="12"/>
        <v>0.72461643288859645</v>
      </c>
      <c r="BJ38" s="7">
        <f t="shared" si="28"/>
        <v>0</v>
      </c>
      <c r="BK38" s="105">
        <f t="shared" si="29"/>
        <v>0</v>
      </c>
      <c r="BL38" s="105">
        <f t="shared" si="30"/>
        <v>0</v>
      </c>
      <c r="BM38" s="105">
        <f t="shared" si="31"/>
        <v>1</v>
      </c>
      <c r="BN38" s="7">
        <f t="shared" si="32"/>
        <v>0</v>
      </c>
      <c r="BP38" s="104">
        <f t="shared" si="33"/>
        <v>0.50642920897547705</v>
      </c>
      <c r="BQ38" s="7">
        <f t="shared" si="34"/>
        <v>0</v>
      </c>
      <c r="BR38" s="105">
        <f t="shared" si="35"/>
        <v>0</v>
      </c>
      <c r="BS38" s="105">
        <f t="shared" si="36"/>
        <v>0</v>
      </c>
      <c r="BT38" s="105">
        <f t="shared" si="37"/>
        <v>1</v>
      </c>
      <c r="BU38" s="7">
        <f t="shared" si="38"/>
        <v>0</v>
      </c>
    </row>
    <row r="39" spans="1:73" s="9" customFormat="1" x14ac:dyDescent="0.25">
      <c r="A39" s="113" t="s">
        <v>107</v>
      </c>
      <c r="B39" s="76">
        <v>0</v>
      </c>
      <c r="C39" s="76">
        <v>12094.79722</v>
      </c>
      <c r="D39" s="76">
        <v>0</v>
      </c>
      <c r="E39" s="84">
        <f>IF(AND(B39=0,D39=0),0,B39/(IF(C39&gt;0,C39,0)+D39))</f>
        <v>0</v>
      </c>
      <c r="F39" s="107">
        <f>IF(E39&lt;=1.05,1,0)</f>
        <v>1</v>
      </c>
      <c r="G39" s="92"/>
      <c r="H39" s="93">
        <f>F39+G39</f>
        <v>1</v>
      </c>
      <c r="I39" s="76">
        <v>0</v>
      </c>
      <c r="J39" s="81">
        <v>399464.29735000001</v>
      </c>
      <c r="K39" s="82">
        <v>278209.29735000001</v>
      </c>
      <c r="L39" s="76">
        <v>77613</v>
      </c>
      <c r="M39" s="76">
        <v>0</v>
      </c>
      <c r="N39" s="84">
        <f>(I39-M39)/(J39-K39-L39)</f>
        <v>0</v>
      </c>
      <c r="O39" s="107">
        <f>IF(N39&lt;=1,1,0)</f>
        <v>1</v>
      </c>
      <c r="P39" s="92"/>
      <c r="Q39" s="93">
        <f>O39+P39</f>
        <v>1</v>
      </c>
      <c r="R39" s="108">
        <v>0</v>
      </c>
      <c r="S39" s="76">
        <v>411559.09457000002</v>
      </c>
      <c r="T39" s="86">
        <v>200149.30968999999</v>
      </c>
      <c r="U39" s="84">
        <f>R39/(S39-T39)</f>
        <v>0</v>
      </c>
      <c r="V39" s="107">
        <f>IF(U39&lt;=0.15,1,0)</f>
        <v>1</v>
      </c>
      <c r="W39" s="92"/>
      <c r="X39" s="93">
        <f>V39+W39</f>
        <v>1</v>
      </c>
      <c r="Y39" s="76">
        <f>C39</f>
        <v>12094.79722</v>
      </c>
      <c r="Z39" s="88"/>
      <c r="AA39" s="88">
        <v>12094.79722</v>
      </c>
      <c r="AB39" s="88"/>
      <c r="AC39" s="88">
        <f>J39</f>
        <v>399464.29735000001</v>
      </c>
      <c r="AD39" s="88">
        <f>K39</f>
        <v>278209.29735000001</v>
      </c>
      <c r="AE39" s="88">
        <f>L39</f>
        <v>77613</v>
      </c>
      <c r="AF39" s="88">
        <f>AC39-AD39-AE39</f>
        <v>43642</v>
      </c>
      <c r="AG39" s="88">
        <f>AF39*5%</f>
        <v>2182.1</v>
      </c>
      <c r="AH39" s="88">
        <f>IF(AA39&gt;0,AA39,0)+AG39+IF(AB39&gt;0,AB39,0)</f>
        <v>14276.897220000001</v>
      </c>
      <c r="AI39" s="112">
        <f>IF((Y39-IF(Z39&gt;0,Z39,0)-IF(AA39&gt;0,AA39,0)-IF(AB39&gt;0,AB39,0))/(AC39-AD39-AE39)&gt;0,(Y39-IF(Z39&gt;0,Z39,0)-IF(AA39&gt;0,AA39,0)-IF(AB39&gt;0,AB39,0))/(AC39-AD39-AE39),0)</f>
        <v>0</v>
      </c>
      <c r="AJ39" s="91">
        <f>IF(AI39&lt;=0.1,1.5,0)</f>
        <v>1.5</v>
      </c>
      <c r="AK39" s="114"/>
      <c r="AL39" s="93">
        <f>AJ39+AK39</f>
        <v>1.5</v>
      </c>
      <c r="AM39" s="94">
        <v>14718</v>
      </c>
      <c r="AN39" s="92">
        <v>17315.3</v>
      </c>
      <c r="AO39" s="111">
        <f>AM39/AN39</f>
        <v>0.84999971123803808</v>
      </c>
      <c r="AP39" s="91">
        <f>IF(AO39&lt;=1,1,0)</f>
        <v>1</v>
      </c>
      <c r="AQ39" s="114"/>
      <c r="AR39" s="115">
        <f>AP39+AQ39</f>
        <v>1</v>
      </c>
      <c r="AS39" s="94">
        <v>38795.1</v>
      </c>
      <c r="AT39" s="92">
        <v>41252.800000000003</v>
      </c>
      <c r="AU39" s="112">
        <f>AS39/AT39</f>
        <v>0.94042343792421357</v>
      </c>
      <c r="AV39" s="91">
        <f>IF(AU39&lt;=1,1,0)</f>
        <v>1</v>
      </c>
      <c r="AW39" s="114"/>
      <c r="AX39" s="115">
        <f>AV39+AW39</f>
        <v>1</v>
      </c>
      <c r="AY39" s="98"/>
      <c r="AZ39" s="99">
        <f>IF(AY39="да",2,0)</f>
        <v>0</v>
      </c>
      <c r="BA39" s="100">
        <f>AZ39</f>
        <v>0</v>
      </c>
      <c r="BB39" s="98"/>
      <c r="BC39" s="99"/>
      <c r="BD39" s="100">
        <f>BC39</f>
        <v>0</v>
      </c>
      <c r="BE39" s="109">
        <f>H39+Q39+X39+AL39+AR39+AX39+BA39+BD39</f>
        <v>6.5</v>
      </c>
      <c r="BF39" s="142"/>
      <c r="BG39" s="103">
        <v>44642.803</v>
      </c>
      <c r="BH39" s="7"/>
      <c r="BI39" s="104">
        <f t="shared" si="12"/>
        <v>0.78104004865682064</v>
      </c>
      <c r="BJ39" s="7">
        <f t="shared" si="28"/>
        <v>0</v>
      </c>
      <c r="BK39" s="105">
        <f t="shared" si="29"/>
        <v>0</v>
      </c>
      <c r="BL39" s="105">
        <f t="shared" si="30"/>
        <v>0</v>
      </c>
      <c r="BM39" s="105">
        <f t="shared" si="31"/>
        <v>1</v>
      </c>
      <c r="BN39" s="7">
        <f t="shared" si="32"/>
        <v>0</v>
      </c>
      <c r="BP39" s="104">
        <f t="shared" si="33"/>
        <v>0.61337987893087675</v>
      </c>
      <c r="BQ39" s="7">
        <f t="shared" si="34"/>
        <v>0</v>
      </c>
      <c r="BR39" s="105">
        <f t="shared" si="35"/>
        <v>0</v>
      </c>
      <c r="BS39" s="105">
        <f t="shared" si="36"/>
        <v>0</v>
      </c>
      <c r="BT39" s="105">
        <f t="shared" si="37"/>
        <v>1</v>
      </c>
      <c r="BU39" s="7">
        <f t="shared" si="38"/>
        <v>0</v>
      </c>
    </row>
    <row r="40" spans="1:73" x14ac:dyDescent="0.25">
      <c r="A40" s="124" t="s">
        <v>108</v>
      </c>
      <c r="B40" s="125">
        <v>0</v>
      </c>
      <c r="C40" s="125">
        <v>5435.7447000000002</v>
      </c>
      <c r="D40" s="125">
        <v>0</v>
      </c>
      <c r="E40" s="126">
        <f t="shared" si="13"/>
        <v>0</v>
      </c>
      <c r="F40" s="127"/>
      <c r="G40" s="128">
        <f t="shared" si="40"/>
        <v>1</v>
      </c>
      <c r="H40" s="129">
        <f>F40+G40</f>
        <v>1</v>
      </c>
      <c r="I40" s="125">
        <v>4000</v>
      </c>
      <c r="J40" s="130">
        <v>560740.15033000009</v>
      </c>
      <c r="K40" s="131">
        <v>432319.75033000001</v>
      </c>
      <c r="L40" s="125">
        <v>76859</v>
      </c>
      <c r="M40" s="125">
        <v>0</v>
      </c>
      <c r="N40" s="126">
        <f t="shared" si="15"/>
        <v>7.7577412560558751E-2</v>
      </c>
      <c r="O40" s="127"/>
      <c r="P40" s="128">
        <f t="shared" si="41"/>
        <v>1</v>
      </c>
      <c r="Q40" s="129">
        <f>O40+P40</f>
        <v>1</v>
      </c>
      <c r="R40" s="143">
        <v>377.61129</v>
      </c>
      <c r="S40" s="125">
        <v>566175.89503000001</v>
      </c>
      <c r="T40" s="133">
        <v>195337.28234999999</v>
      </c>
      <c r="U40" s="126">
        <f t="shared" si="3"/>
        <v>1.0182631395125087E-3</v>
      </c>
      <c r="V40" s="127"/>
      <c r="W40" s="128">
        <f t="shared" si="42"/>
        <v>1</v>
      </c>
      <c r="X40" s="129">
        <f t="shared" si="16"/>
        <v>1</v>
      </c>
      <c r="Y40" s="125">
        <f t="shared" si="17"/>
        <v>5435.7447000000002</v>
      </c>
      <c r="Z40" s="134"/>
      <c r="AA40" s="134">
        <v>5435.7447000000002</v>
      </c>
      <c r="AB40" s="134"/>
      <c r="AC40" s="134">
        <f t="shared" si="5"/>
        <v>560740.15033000009</v>
      </c>
      <c r="AD40" s="134">
        <f t="shared" si="5"/>
        <v>432319.75033000001</v>
      </c>
      <c r="AE40" s="134">
        <f t="shared" si="5"/>
        <v>76859</v>
      </c>
      <c r="AF40" s="134">
        <f t="shared" si="18"/>
        <v>51561.400000000081</v>
      </c>
      <c r="AG40" s="134">
        <f t="shared" si="47"/>
        <v>2578.0700000000043</v>
      </c>
      <c r="AH40" s="134">
        <f t="shared" si="39"/>
        <v>8013.8147000000044</v>
      </c>
      <c r="AI40" s="135">
        <f t="shared" si="8"/>
        <v>0</v>
      </c>
      <c r="AJ40" s="136"/>
      <c r="AK40" s="137">
        <f>IF(AI40&lt;=0.05,1.5,0)</f>
        <v>1.5</v>
      </c>
      <c r="AL40" s="129">
        <f t="shared" si="9"/>
        <v>1.5</v>
      </c>
      <c r="AM40" s="138">
        <v>18584.7</v>
      </c>
      <c r="AN40" s="128">
        <v>20866.099999999999</v>
      </c>
      <c r="AO40" s="139">
        <f t="shared" si="10"/>
        <v>0.89066476246160053</v>
      </c>
      <c r="AP40" s="136"/>
      <c r="AQ40" s="137">
        <f>IF(AO40&lt;=1,1,0)</f>
        <v>1</v>
      </c>
      <c r="AR40" s="140">
        <f>AP40+AQ40</f>
        <v>1</v>
      </c>
      <c r="AS40" s="138">
        <v>39020.199999999997</v>
      </c>
      <c r="AT40" s="128">
        <v>47892.9</v>
      </c>
      <c r="AU40" s="135">
        <f t="shared" si="22"/>
        <v>0.8147387191003258</v>
      </c>
      <c r="AV40" s="136"/>
      <c r="AW40" s="137">
        <f>IF(AU40&lt;=1,1,0)</f>
        <v>1</v>
      </c>
      <c r="AX40" s="140">
        <f t="shared" si="11"/>
        <v>1</v>
      </c>
      <c r="AY40" s="98"/>
      <c r="AZ40" s="99">
        <f t="shared" si="24"/>
        <v>0</v>
      </c>
      <c r="BA40" s="100">
        <f t="shared" si="25"/>
        <v>0</v>
      </c>
      <c r="BB40" s="98"/>
      <c r="BC40" s="99"/>
      <c r="BD40" s="100">
        <f t="shared" si="26"/>
        <v>0</v>
      </c>
      <c r="BE40" s="141">
        <f t="shared" si="27"/>
        <v>6.5</v>
      </c>
      <c r="BF40" s="142"/>
      <c r="BG40" s="103">
        <v>76667.680959999998</v>
      </c>
      <c r="BI40" s="104">
        <f t="shared" si="12"/>
        <v>0.85889163846731975</v>
      </c>
      <c r="BJ40" s="7">
        <f t="shared" si="28"/>
        <v>0</v>
      </c>
      <c r="BK40" s="105">
        <f t="shared" si="29"/>
        <v>0</v>
      </c>
      <c r="BL40" s="105">
        <f t="shared" si="30"/>
        <v>0</v>
      </c>
      <c r="BM40" s="105">
        <f t="shared" si="31"/>
        <v>1</v>
      </c>
      <c r="BN40" s="7">
        <f t="shared" si="32"/>
        <v>0</v>
      </c>
      <c r="BP40" s="104">
        <f t="shared" si="33"/>
        <v>0.42015729599692991</v>
      </c>
      <c r="BQ40" s="7">
        <f t="shared" si="34"/>
        <v>0</v>
      </c>
      <c r="BR40" s="105">
        <f t="shared" si="35"/>
        <v>0</v>
      </c>
      <c r="BS40" s="105">
        <f t="shared" si="36"/>
        <v>1</v>
      </c>
      <c r="BT40" s="105">
        <f t="shared" si="37"/>
        <v>0</v>
      </c>
      <c r="BU40" s="7">
        <f t="shared" si="38"/>
        <v>0</v>
      </c>
    </row>
    <row r="41" spans="1:73" ht="13.8" thickBot="1" x14ac:dyDescent="0.3">
      <c r="A41" s="124" t="s">
        <v>109</v>
      </c>
      <c r="B41" s="125">
        <v>0</v>
      </c>
      <c r="C41" s="125">
        <v>9585.4462600000006</v>
      </c>
      <c r="D41" s="125">
        <v>0</v>
      </c>
      <c r="E41" s="126">
        <f t="shared" si="13"/>
        <v>0</v>
      </c>
      <c r="F41" s="127"/>
      <c r="G41" s="128">
        <f>IF(E41&lt;=1.05,1,0)</f>
        <v>1</v>
      </c>
      <c r="H41" s="129">
        <f t="shared" si="0"/>
        <v>1</v>
      </c>
      <c r="I41" s="125">
        <v>0</v>
      </c>
      <c r="J41" s="130">
        <v>645065.84496000002</v>
      </c>
      <c r="K41" s="131">
        <v>456198.84495999996</v>
      </c>
      <c r="L41" s="125">
        <v>113574</v>
      </c>
      <c r="M41" s="125">
        <v>0</v>
      </c>
      <c r="N41" s="126">
        <f t="shared" si="15"/>
        <v>0</v>
      </c>
      <c r="O41" s="127"/>
      <c r="P41" s="128">
        <f>IF(N41&lt;=0.5,1,0)</f>
        <v>1</v>
      </c>
      <c r="Q41" s="129">
        <f t="shared" si="2"/>
        <v>1</v>
      </c>
      <c r="R41" s="143">
        <v>0</v>
      </c>
      <c r="S41" s="125">
        <v>654651.29122000001</v>
      </c>
      <c r="T41" s="133">
        <v>290908.17979999998</v>
      </c>
      <c r="U41" s="126">
        <f t="shared" si="3"/>
        <v>0</v>
      </c>
      <c r="V41" s="127"/>
      <c r="W41" s="128">
        <f>IF(U41&lt;=0.15,1,0)</f>
        <v>1</v>
      </c>
      <c r="X41" s="129">
        <f t="shared" si="16"/>
        <v>1</v>
      </c>
      <c r="Y41" s="125">
        <f t="shared" si="17"/>
        <v>9585.4462600000006</v>
      </c>
      <c r="Z41" s="134"/>
      <c r="AA41" s="134">
        <v>9585.4462600000006</v>
      </c>
      <c r="AB41" s="134"/>
      <c r="AC41" s="134">
        <f t="shared" si="5"/>
        <v>645065.84496000002</v>
      </c>
      <c r="AD41" s="134">
        <f t="shared" si="5"/>
        <v>456198.84495999996</v>
      </c>
      <c r="AE41" s="134">
        <f t="shared" si="5"/>
        <v>113574</v>
      </c>
      <c r="AF41" s="134">
        <f t="shared" si="18"/>
        <v>75293.000000000058</v>
      </c>
      <c r="AG41" s="134">
        <f>AF41*10%</f>
        <v>7529.3000000000065</v>
      </c>
      <c r="AH41" s="134">
        <f t="shared" si="39"/>
        <v>17114.746260000007</v>
      </c>
      <c r="AI41" s="135">
        <f t="shared" si="8"/>
        <v>0</v>
      </c>
      <c r="AJ41" s="127"/>
      <c r="AK41" s="137">
        <f>IF(AI41&lt;=0.05,1.5,0)</f>
        <v>1.5</v>
      </c>
      <c r="AL41" s="129">
        <f t="shared" si="9"/>
        <v>1.5</v>
      </c>
      <c r="AM41" s="138">
        <v>20044</v>
      </c>
      <c r="AN41" s="128">
        <v>20866.099999999999</v>
      </c>
      <c r="AO41" s="139">
        <f t="shared" si="10"/>
        <v>0.96060116648535188</v>
      </c>
      <c r="AP41" s="127"/>
      <c r="AQ41" s="137">
        <f>IF(AO41&lt;=1,1,0)</f>
        <v>1</v>
      </c>
      <c r="AR41" s="140">
        <f>AP41+AQ41</f>
        <v>1</v>
      </c>
      <c r="AS41" s="138">
        <v>45845.3</v>
      </c>
      <c r="AT41" s="128">
        <v>47892.9</v>
      </c>
      <c r="AU41" s="135">
        <f t="shared" si="22"/>
        <v>0.9572462724119859</v>
      </c>
      <c r="AV41" s="127"/>
      <c r="AW41" s="137">
        <f>IF(AU41&lt;=1,1,0)</f>
        <v>1</v>
      </c>
      <c r="AX41" s="140">
        <f t="shared" si="11"/>
        <v>1</v>
      </c>
      <c r="AY41" s="98"/>
      <c r="AZ41" s="99">
        <f t="shared" si="24"/>
        <v>0</v>
      </c>
      <c r="BA41" s="100">
        <f t="shared" si="25"/>
        <v>0</v>
      </c>
      <c r="BB41" s="98"/>
      <c r="BC41" s="99"/>
      <c r="BD41" s="100">
        <f t="shared" si="26"/>
        <v>0</v>
      </c>
      <c r="BE41" s="141">
        <f t="shared" si="27"/>
        <v>6.5</v>
      </c>
      <c r="BF41" s="102"/>
      <c r="BG41" s="103">
        <v>34090.917000000001</v>
      </c>
      <c r="BI41" s="104">
        <f t="shared" si="12"/>
        <v>0.78740259662039358</v>
      </c>
      <c r="BJ41" s="7">
        <f t="shared" si="28"/>
        <v>0</v>
      </c>
      <c r="BK41" s="105">
        <f t="shared" si="29"/>
        <v>0</v>
      </c>
      <c r="BL41" s="105">
        <f t="shared" si="30"/>
        <v>0</v>
      </c>
      <c r="BM41" s="105">
        <f t="shared" si="31"/>
        <v>1</v>
      </c>
      <c r="BN41" s="7">
        <f t="shared" si="32"/>
        <v>0</v>
      </c>
      <c r="BP41" s="104">
        <f t="shared" si="33"/>
        <v>0.41694683336385929</v>
      </c>
      <c r="BQ41" s="7">
        <f t="shared" si="34"/>
        <v>0</v>
      </c>
      <c r="BR41" s="105">
        <f t="shared" si="35"/>
        <v>0</v>
      </c>
      <c r="BS41" s="105">
        <f t="shared" si="36"/>
        <v>1</v>
      </c>
      <c r="BT41" s="105">
        <f t="shared" si="37"/>
        <v>0</v>
      </c>
      <c r="BU41" s="7">
        <f t="shared" si="38"/>
        <v>0</v>
      </c>
    </row>
    <row r="42" spans="1:73" ht="14.4" thickTop="1" thickBot="1" x14ac:dyDescent="0.3">
      <c r="A42" s="147" t="s">
        <v>110</v>
      </c>
      <c r="B42" s="148">
        <f>SUM(B10:B41)</f>
        <v>2779209.7089999998</v>
      </c>
      <c r="C42" s="148">
        <f>SUM(C10:C41)</f>
        <v>381784.78059000004</v>
      </c>
      <c r="D42" s="148">
        <f>SUM(D10:D41)</f>
        <v>2770900.7089999998</v>
      </c>
      <c r="E42" s="149"/>
      <c r="F42" s="149"/>
      <c r="G42" s="149"/>
      <c r="H42" s="150"/>
      <c r="I42" s="149">
        <f>SUM(I10:I41)</f>
        <v>2445866.5678400001</v>
      </c>
      <c r="J42" s="149">
        <f>SUM(J10:J41)</f>
        <v>27098656.34615</v>
      </c>
      <c r="K42" s="149">
        <f>SUM(K10:K41)</f>
        <v>19673828.79315</v>
      </c>
      <c r="L42" s="149">
        <f>SUM(L10:L41)</f>
        <v>2492287.6086956523</v>
      </c>
      <c r="M42" s="149">
        <f>SUM(M10:M41)</f>
        <v>0</v>
      </c>
      <c r="N42" s="149"/>
      <c r="O42" s="149"/>
      <c r="P42" s="149"/>
      <c r="Q42" s="150"/>
      <c r="R42" s="151">
        <f>SUM(R10:R41)</f>
        <v>221701.63971000002</v>
      </c>
      <c r="S42" s="149">
        <f>SUM(S10:S41)</f>
        <v>27480441.126740001</v>
      </c>
      <c r="T42" s="149">
        <f>SUM(T10:T41)</f>
        <v>9641739.0994200036</v>
      </c>
      <c r="U42" s="149"/>
      <c r="V42" s="149"/>
      <c r="W42" s="149"/>
      <c r="X42" s="150"/>
      <c r="Y42" s="152">
        <f t="shared" ref="Y42:AE42" si="48">SUM(Y10:Y41)</f>
        <v>381784.78059000004</v>
      </c>
      <c r="Z42" s="153">
        <f t="shared" si="48"/>
        <v>691</v>
      </c>
      <c r="AA42" s="153">
        <f t="shared" si="48"/>
        <v>372784.78059000004</v>
      </c>
      <c r="AB42" s="153">
        <f t="shared" si="48"/>
        <v>0</v>
      </c>
      <c r="AC42" s="153">
        <f t="shared" si="48"/>
        <v>27098656.34615</v>
      </c>
      <c r="AD42" s="153">
        <f t="shared" si="48"/>
        <v>19673828.79315</v>
      </c>
      <c r="AE42" s="153">
        <f t="shared" si="48"/>
        <v>2492287.6086956523</v>
      </c>
      <c r="AF42" s="152"/>
      <c r="AG42" s="152"/>
      <c r="AH42" s="152"/>
      <c r="AI42" s="149"/>
      <c r="AJ42" s="149"/>
      <c r="AK42" s="149"/>
      <c r="AL42" s="149"/>
      <c r="AM42" s="151">
        <f>SUM(AM10:AM41)</f>
        <v>785960.70000000007</v>
      </c>
      <c r="AN42" s="153">
        <f>SUM(AN10:AN41)</f>
        <v>851791.39999999967</v>
      </c>
      <c r="AO42" s="149"/>
      <c r="AP42" s="149"/>
      <c r="AQ42" s="149"/>
      <c r="AR42" s="149"/>
      <c r="AS42" s="153">
        <f>SUM(AS10:AS41)</f>
        <v>1713895.9999999995</v>
      </c>
      <c r="AT42" s="153">
        <f>SUM(AT10:AT41)</f>
        <v>1866728.3999999992</v>
      </c>
      <c r="AU42" s="149"/>
      <c r="AV42" s="149"/>
      <c r="AW42" s="149"/>
      <c r="AX42" s="149"/>
      <c r="AY42" s="154"/>
      <c r="AZ42" s="155"/>
      <c r="BA42" s="156"/>
      <c r="BB42" s="154"/>
      <c r="BC42" s="155"/>
      <c r="BD42" s="156"/>
      <c r="BE42" s="157"/>
      <c r="BF42" s="158"/>
      <c r="BG42" s="1"/>
      <c r="BI42" s="159"/>
      <c r="BJ42" s="160">
        <f>SUM(BJ10:BJ41)</f>
        <v>0</v>
      </c>
      <c r="BK42" s="160">
        <f>SUM(BK10:BK41)</f>
        <v>0</v>
      </c>
      <c r="BL42" s="160">
        <f>SUM(BL10:BL41)</f>
        <v>5</v>
      </c>
      <c r="BM42" s="160">
        <f>SUM(BM10:BM41)</f>
        <v>25</v>
      </c>
      <c r="BN42" s="160">
        <f>SUM(BN10:BN41)</f>
        <v>2</v>
      </c>
      <c r="BP42" s="159"/>
      <c r="BQ42" s="160">
        <f>SUM(BQ10:BQ41)</f>
        <v>0</v>
      </c>
      <c r="BR42" s="160">
        <f>SUM(BR10:BR41)</f>
        <v>3</v>
      </c>
      <c r="BS42" s="160">
        <f>SUM(BS10:BS41)</f>
        <v>18</v>
      </c>
      <c r="BT42" s="160">
        <f>SUM(BT10:BT41)</f>
        <v>11</v>
      </c>
      <c r="BU42" s="160">
        <f>SUM(BU10:BU41)</f>
        <v>0</v>
      </c>
    </row>
    <row r="43" spans="1:73" ht="13.8" thickTop="1" x14ac:dyDescent="0.25">
      <c r="BD43">
        <v>3</v>
      </c>
      <c r="BG43" s="1"/>
      <c r="BI43" s="7" t="s">
        <v>111</v>
      </c>
      <c r="BJ43" s="7">
        <f>BJ10+BJ11+BJ12+BJ13+BJ14+BJ15</f>
        <v>0</v>
      </c>
      <c r="BK43" s="7">
        <f>BK10+BK11+BK12+BK13+BK14+BK15</f>
        <v>0</v>
      </c>
      <c r="BL43" s="7">
        <f>BL10+BL11+BL12+BL13+BL14+BL15</f>
        <v>4</v>
      </c>
      <c r="BM43" s="7">
        <f>BM10+BM11+BM12+BM13+BM14+BM15</f>
        <v>2</v>
      </c>
      <c r="BN43" s="7">
        <f>BN10+BN11+BN12+BN13+BN14+BN15</f>
        <v>0</v>
      </c>
      <c r="BP43" s="7" t="s">
        <v>111</v>
      </c>
      <c r="BQ43" s="7">
        <f>BQ10+BQ11+BQ12+BQ13+BQ14+BQ15</f>
        <v>0</v>
      </c>
      <c r="BR43" s="7">
        <f>BR10+BR11+BR12+BR13+BR14+BR15</f>
        <v>3</v>
      </c>
      <c r="BS43" s="7">
        <f>BS10+BS11+BS12+BS13+BS14+BS15</f>
        <v>3</v>
      </c>
      <c r="BT43" s="7">
        <f>BT10+BT11+BT12+BT13+BT14+BT15</f>
        <v>0</v>
      </c>
      <c r="BU43" s="7">
        <f>BU10+BU11+BU12+BU13+BU14+BU15</f>
        <v>0</v>
      </c>
    </row>
    <row r="44" spans="1:73" ht="26.4" hidden="1" x14ac:dyDescent="0.25">
      <c r="B44" s="161" t="s">
        <v>112</v>
      </c>
      <c r="C44" s="161" t="s">
        <v>113</v>
      </c>
      <c r="D44" s="161" t="s">
        <v>114</v>
      </c>
      <c r="L44" s="10"/>
      <c r="BI44" s="7" t="s">
        <v>115</v>
      </c>
      <c r="BJ44" s="7">
        <f>BJ42-BJ43</f>
        <v>0</v>
      </c>
      <c r="BK44" s="7">
        <f>BK42-BK43</f>
        <v>0</v>
      </c>
      <c r="BL44" s="7">
        <f>BL42-BL43</f>
        <v>1</v>
      </c>
      <c r="BM44" s="7">
        <f>BM42-BM43</f>
        <v>23</v>
      </c>
      <c r="BN44" s="7">
        <f>BN42-BN43</f>
        <v>2</v>
      </c>
      <c r="BP44" s="7" t="s">
        <v>115</v>
      </c>
      <c r="BQ44" s="7">
        <f>BQ42-BQ43</f>
        <v>0</v>
      </c>
      <c r="BR44" s="7">
        <f>BR42-BR43</f>
        <v>0</v>
      </c>
      <c r="BS44" s="7">
        <f>BS42-BS43</f>
        <v>15</v>
      </c>
      <c r="BT44" s="7">
        <f>BT42-BT43</f>
        <v>11</v>
      </c>
      <c r="BU44" s="7">
        <f>BU42-BU43</f>
        <v>0</v>
      </c>
    </row>
    <row r="45" spans="1:73" x14ac:dyDescent="0.25">
      <c r="L45" s="162"/>
    </row>
  </sheetData>
  <mergeCells count="14">
    <mergeCell ref="AM4:AR4"/>
    <mergeCell ref="AS4:AX4"/>
    <mergeCell ref="B5:D5"/>
    <mergeCell ref="I5:K5"/>
    <mergeCell ref="R5:T5"/>
    <mergeCell ref="Y5:AA5"/>
    <mergeCell ref="AM5:AN5"/>
    <mergeCell ref="AS5:AT5"/>
    <mergeCell ref="B1:H3"/>
    <mergeCell ref="A4:A7"/>
    <mergeCell ref="B4:H4"/>
    <mergeCell ref="I4:Q4"/>
    <mergeCell ref="R4:X4"/>
    <mergeCell ref="Y4:AL4"/>
  </mergeCells>
  <pageMargins left="0.19685039370078741" right="0.19685039370078741" top="0.35433070866141736" bottom="0.27559055118110237" header="0.31496062992125984" footer="0.31496062992125984"/>
  <pageSetup paperSize="9"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1 кв.</vt:lpstr>
      <vt:lpstr>'за 1 кв.'!Заголовки_для_печати</vt:lpstr>
      <vt:lpstr>'за 1 кв.'!Область_печати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dcterms:created xsi:type="dcterms:W3CDTF">2020-04-30T06:57:33Z</dcterms:created>
  <dcterms:modified xsi:type="dcterms:W3CDTF">2020-04-30T07:03:07Z</dcterms:modified>
</cp:coreProperties>
</file>