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72" windowWidth="30372" windowHeight="13224"/>
  </bookViews>
  <sheets>
    <sheet name="за 4 кв. (факт)" sheetId="1" r:id="rId1"/>
  </sheets>
  <definedNames>
    <definedName name="_xlnm.Print_Titles" localSheetId="0">'за 4 кв. (факт)'!$A:$A</definedName>
    <definedName name="_xlnm.Print_Area" localSheetId="0">'за 4 кв. (факт)'!$A$1:$AX$43</definedName>
  </definedNames>
  <calcPr calcId="145621" fullCalcOnLoad="1"/>
</workbook>
</file>

<file path=xl/calcChain.xml><?xml version="1.0" encoding="utf-8"?>
<calcChain xmlns="http://schemas.openxmlformats.org/spreadsheetml/2006/main">
  <c r="G40" i="1" l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5" i="1"/>
  <c r="G11" i="1"/>
  <c r="F42" i="1"/>
  <c r="F41" i="1"/>
  <c r="F36" i="1"/>
  <c r="F18" i="1"/>
  <c r="F17" i="1"/>
  <c r="F16" i="1"/>
  <c r="F14" i="1"/>
  <c r="F13" i="1"/>
  <c r="F12" i="1"/>
  <c r="F10" i="1"/>
  <c r="BB44" i="1"/>
  <c r="BB45" i="1" s="1"/>
  <c r="BA44" i="1"/>
  <c r="BA45" i="1" s="1"/>
  <c r="AZ44" i="1"/>
  <c r="AZ45" i="1" s="1"/>
  <c r="C44" i="1"/>
  <c r="AT43" i="1"/>
  <c r="AS43" i="1"/>
  <c r="AN43" i="1"/>
  <c r="AM43" i="1"/>
  <c r="AB43" i="1"/>
  <c r="AA43" i="1"/>
  <c r="Z43" i="1"/>
  <c r="T43" i="1"/>
  <c r="S43" i="1"/>
  <c r="R43" i="1"/>
  <c r="M43" i="1"/>
  <c r="L43" i="1"/>
  <c r="K43" i="1"/>
  <c r="J43" i="1"/>
  <c r="I43" i="1"/>
  <c r="D43" i="1"/>
  <c r="C43" i="1"/>
  <c r="B43" i="1"/>
  <c r="BJ42" i="1"/>
  <c r="BN42" i="1" s="1"/>
  <c r="AU42" i="1"/>
  <c r="AV42" i="1" s="1"/>
  <c r="AX42" i="1" s="1"/>
  <c r="AO42" i="1"/>
  <c r="AP42" i="1" s="1"/>
  <c r="AR42" i="1" s="1"/>
  <c r="AE42" i="1"/>
  <c r="AD42" i="1"/>
  <c r="BC42" i="1" s="1"/>
  <c r="AC42" i="1"/>
  <c r="AF42" i="1" s="1"/>
  <c r="AG42" i="1" s="1"/>
  <c r="AH42" i="1" s="1"/>
  <c r="Y42" i="1"/>
  <c r="AI42" i="1" s="1"/>
  <c r="AJ42" i="1" s="1"/>
  <c r="AL42" i="1" s="1"/>
  <c r="U42" i="1"/>
  <c r="V42" i="1" s="1"/>
  <c r="X42" i="1" s="1"/>
  <c r="N42" i="1"/>
  <c r="O42" i="1" s="1"/>
  <c r="Q42" i="1" s="1"/>
  <c r="E42" i="1"/>
  <c r="H42" i="1" s="1"/>
  <c r="BJ41" i="1"/>
  <c r="BN41" i="1" s="1"/>
  <c r="AU41" i="1"/>
  <c r="AV41" i="1" s="1"/>
  <c r="AX41" i="1" s="1"/>
  <c r="AP41" i="1"/>
  <c r="AR41" i="1" s="1"/>
  <c r="AO41" i="1"/>
  <c r="AE41" i="1"/>
  <c r="BC41" i="1" s="1"/>
  <c r="AD41" i="1"/>
  <c r="AC41" i="1"/>
  <c r="AI41" i="1" s="1"/>
  <c r="AJ41" i="1" s="1"/>
  <c r="AL41" i="1" s="1"/>
  <c r="Y41" i="1"/>
  <c r="U41" i="1"/>
  <c r="V41" i="1" s="1"/>
  <c r="X41" i="1" s="1"/>
  <c r="O41" i="1"/>
  <c r="Q41" i="1" s="1"/>
  <c r="N41" i="1"/>
  <c r="E41" i="1"/>
  <c r="H41" i="1" s="1"/>
  <c r="BJ40" i="1"/>
  <c r="BN40" i="1" s="1"/>
  <c r="AU40" i="1"/>
  <c r="AW40" i="1" s="1"/>
  <c r="AX40" i="1" s="1"/>
  <c r="AQ40" i="1"/>
  <c r="AR40" i="1" s="1"/>
  <c r="AO40" i="1"/>
  <c r="AE40" i="1"/>
  <c r="BC40" i="1" s="1"/>
  <c r="AD40" i="1"/>
  <c r="AC40" i="1"/>
  <c r="AI40" i="1" s="1"/>
  <c r="AK40" i="1" s="1"/>
  <c r="AL40" i="1" s="1"/>
  <c r="Y40" i="1"/>
  <c r="U40" i="1"/>
  <c r="W40" i="1" s="1"/>
  <c r="X40" i="1" s="1"/>
  <c r="P40" i="1"/>
  <c r="Q40" i="1" s="1"/>
  <c r="N40" i="1"/>
  <c r="E40" i="1"/>
  <c r="H40" i="1" s="1"/>
  <c r="BJ39" i="1"/>
  <c r="BN39" i="1" s="1"/>
  <c r="AU39" i="1"/>
  <c r="AW39" i="1" s="1"/>
  <c r="AX39" i="1" s="1"/>
  <c r="AQ39" i="1"/>
  <c r="AR39" i="1" s="1"/>
  <c r="AO39" i="1"/>
  <c r="AE39" i="1"/>
  <c r="BC39" i="1" s="1"/>
  <c r="AD39" i="1"/>
  <c r="AC39" i="1"/>
  <c r="AI39" i="1" s="1"/>
  <c r="AK39" i="1" s="1"/>
  <c r="AL39" i="1" s="1"/>
  <c r="Y39" i="1"/>
  <c r="U39" i="1"/>
  <c r="W39" i="1" s="1"/>
  <c r="X39" i="1" s="1"/>
  <c r="P39" i="1"/>
  <c r="Q39" i="1" s="1"/>
  <c r="N39" i="1"/>
  <c r="E39" i="1"/>
  <c r="H39" i="1" s="1"/>
  <c r="AY39" i="1" s="1"/>
  <c r="BL38" i="1"/>
  <c r="BJ38" i="1"/>
  <c r="AU38" i="1"/>
  <c r="AW38" i="1" s="1"/>
  <c r="AX38" i="1" s="1"/>
  <c r="AQ38" i="1"/>
  <c r="AR38" i="1" s="1"/>
  <c r="AO38" i="1"/>
  <c r="AE38" i="1"/>
  <c r="BC38" i="1" s="1"/>
  <c r="AD38" i="1"/>
  <c r="AC38" i="1"/>
  <c r="AF38" i="1" s="1"/>
  <c r="AG38" i="1" s="1"/>
  <c r="AH38" i="1" s="1"/>
  <c r="Y38" i="1"/>
  <c r="X38" i="1"/>
  <c r="U38" i="1"/>
  <c r="W38" i="1" s="1"/>
  <c r="P38" i="1"/>
  <c r="Q38" i="1" s="1"/>
  <c r="N38" i="1"/>
  <c r="E38" i="1"/>
  <c r="H38" i="1" s="1"/>
  <c r="BJ37" i="1"/>
  <c r="BN37" i="1" s="1"/>
  <c r="AU37" i="1"/>
  <c r="AW37" i="1" s="1"/>
  <c r="AX37" i="1" s="1"/>
  <c r="AQ37" i="1"/>
  <c r="AR37" i="1" s="1"/>
  <c r="AO37" i="1"/>
  <c r="AE37" i="1"/>
  <c r="BC37" i="1" s="1"/>
  <c r="AD37" i="1"/>
  <c r="AC37" i="1"/>
  <c r="AI37" i="1" s="1"/>
  <c r="AK37" i="1" s="1"/>
  <c r="AL37" i="1" s="1"/>
  <c r="Y37" i="1"/>
  <c r="U37" i="1"/>
  <c r="W37" i="1" s="1"/>
  <c r="X37" i="1" s="1"/>
  <c r="P37" i="1"/>
  <c r="Q37" i="1" s="1"/>
  <c r="N37" i="1"/>
  <c r="E37" i="1"/>
  <c r="H37" i="1" s="1"/>
  <c r="AY37" i="1" s="1"/>
  <c r="BJ36" i="1"/>
  <c r="BN36" i="1" s="1"/>
  <c r="AU36" i="1"/>
  <c r="AV36" i="1" s="1"/>
  <c r="AX36" i="1" s="1"/>
  <c r="AP36" i="1"/>
  <c r="AR36" i="1" s="1"/>
  <c r="AO36" i="1"/>
  <c r="AE36" i="1"/>
  <c r="BC36" i="1" s="1"/>
  <c r="AD36" i="1"/>
  <c r="AC36" i="1"/>
  <c r="AI36" i="1" s="1"/>
  <c r="AJ36" i="1" s="1"/>
  <c r="AL36" i="1" s="1"/>
  <c r="Y36" i="1"/>
  <c r="U36" i="1"/>
  <c r="V36" i="1" s="1"/>
  <c r="X36" i="1" s="1"/>
  <c r="O36" i="1"/>
  <c r="Q36" i="1" s="1"/>
  <c r="N36" i="1"/>
  <c r="E36" i="1"/>
  <c r="H36" i="1" s="1"/>
  <c r="BJ35" i="1"/>
  <c r="BN35" i="1" s="1"/>
  <c r="AU35" i="1"/>
  <c r="AW35" i="1" s="1"/>
  <c r="AX35" i="1" s="1"/>
  <c r="AQ35" i="1"/>
  <c r="AR35" i="1" s="1"/>
  <c r="AO35" i="1"/>
  <c r="AE35" i="1"/>
  <c r="BC35" i="1" s="1"/>
  <c r="AD35" i="1"/>
  <c r="AC35" i="1"/>
  <c r="AI35" i="1" s="1"/>
  <c r="AK35" i="1" s="1"/>
  <c r="AL35" i="1" s="1"/>
  <c r="Y35" i="1"/>
  <c r="U35" i="1"/>
  <c r="W35" i="1" s="1"/>
  <c r="X35" i="1" s="1"/>
  <c r="P35" i="1"/>
  <c r="Q35" i="1" s="1"/>
  <c r="N35" i="1"/>
  <c r="E35" i="1"/>
  <c r="H35" i="1" s="1"/>
  <c r="BJ34" i="1"/>
  <c r="BN34" i="1" s="1"/>
  <c r="AU34" i="1"/>
  <c r="AW34" i="1" s="1"/>
  <c r="AX34" i="1" s="1"/>
  <c r="AQ34" i="1"/>
  <c r="AR34" i="1" s="1"/>
  <c r="AO34" i="1"/>
  <c r="AE34" i="1"/>
  <c r="BC34" i="1" s="1"/>
  <c r="AD34" i="1"/>
  <c r="AC34" i="1"/>
  <c r="AI34" i="1" s="1"/>
  <c r="AK34" i="1" s="1"/>
  <c r="AL34" i="1" s="1"/>
  <c r="Y34" i="1"/>
  <c r="U34" i="1"/>
  <c r="W34" i="1" s="1"/>
  <c r="X34" i="1" s="1"/>
  <c r="P34" i="1"/>
  <c r="Q34" i="1" s="1"/>
  <c r="N34" i="1"/>
  <c r="E34" i="1"/>
  <c r="H34" i="1" s="1"/>
  <c r="BJ33" i="1"/>
  <c r="BN33" i="1" s="1"/>
  <c r="AU33" i="1"/>
  <c r="AW33" i="1" s="1"/>
  <c r="AX33" i="1" s="1"/>
  <c r="AQ33" i="1"/>
  <c r="AR33" i="1" s="1"/>
  <c r="AO33" i="1"/>
  <c r="AE33" i="1"/>
  <c r="BC33" i="1" s="1"/>
  <c r="AD33" i="1"/>
  <c r="AC33" i="1"/>
  <c r="AI33" i="1" s="1"/>
  <c r="AK33" i="1" s="1"/>
  <c r="AL33" i="1" s="1"/>
  <c r="Y33" i="1"/>
  <c r="U33" i="1"/>
  <c r="W33" i="1" s="1"/>
  <c r="X33" i="1" s="1"/>
  <c r="P33" i="1"/>
  <c r="Q33" i="1" s="1"/>
  <c r="N33" i="1"/>
  <c r="E33" i="1"/>
  <c r="H33" i="1" s="1"/>
  <c r="BJ32" i="1"/>
  <c r="BN32" i="1" s="1"/>
  <c r="AU32" i="1"/>
  <c r="AW32" i="1" s="1"/>
  <c r="AX32" i="1" s="1"/>
  <c r="AQ32" i="1"/>
  <c r="AR32" i="1" s="1"/>
  <c r="AO32" i="1"/>
  <c r="AE32" i="1"/>
  <c r="BC32" i="1" s="1"/>
  <c r="AD32" i="1"/>
  <c r="AC32" i="1"/>
  <c r="AI32" i="1" s="1"/>
  <c r="AK32" i="1" s="1"/>
  <c r="AL32" i="1" s="1"/>
  <c r="Y32" i="1"/>
  <c r="U32" i="1"/>
  <c r="W32" i="1" s="1"/>
  <c r="X32" i="1" s="1"/>
  <c r="P32" i="1"/>
  <c r="Q32" i="1" s="1"/>
  <c r="N32" i="1"/>
  <c r="E32" i="1"/>
  <c r="H32" i="1" s="1"/>
  <c r="BJ31" i="1"/>
  <c r="BN31" i="1" s="1"/>
  <c r="AX31" i="1"/>
  <c r="AW31" i="1"/>
  <c r="AR31" i="1"/>
  <c r="AQ31" i="1"/>
  <c r="AE31" i="1"/>
  <c r="BC31" i="1" s="1"/>
  <c r="AD31" i="1"/>
  <c r="AC31" i="1"/>
  <c r="AI31" i="1" s="1"/>
  <c r="AK31" i="1" s="1"/>
  <c r="AL31" i="1" s="1"/>
  <c r="Y31" i="1"/>
  <c r="U31" i="1"/>
  <c r="W31" i="1" s="1"/>
  <c r="X31" i="1" s="1"/>
  <c r="P31" i="1"/>
  <c r="Q31" i="1" s="1"/>
  <c r="N31" i="1"/>
  <c r="E31" i="1"/>
  <c r="H31" i="1" s="1"/>
  <c r="AY31" i="1" s="1"/>
  <c r="BJ30" i="1"/>
  <c r="BN30" i="1" s="1"/>
  <c r="AU30" i="1"/>
  <c r="AW30" i="1" s="1"/>
  <c r="AX30" i="1" s="1"/>
  <c r="AQ30" i="1"/>
  <c r="AR30" i="1" s="1"/>
  <c r="AO30" i="1"/>
  <c r="AE30" i="1"/>
  <c r="BC30" i="1" s="1"/>
  <c r="AD30" i="1"/>
  <c r="AC30" i="1"/>
  <c r="AF30" i="1" s="1"/>
  <c r="AG30" i="1" s="1"/>
  <c r="AH30" i="1" s="1"/>
  <c r="Y30" i="1"/>
  <c r="X30" i="1"/>
  <c r="U30" i="1"/>
  <c r="W30" i="1" s="1"/>
  <c r="P30" i="1"/>
  <c r="Q30" i="1" s="1"/>
  <c r="N30" i="1"/>
  <c r="H30" i="1"/>
  <c r="E30" i="1"/>
  <c r="BJ29" i="1"/>
  <c r="BL29" i="1" s="1"/>
  <c r="AX29" i="1"/>
  <c r="AU29" i="1"/>
  <c r="AW29" i="1" s="1"/>
  <c r="AQ29" i="1"/>
  <c r="AR29" i="1" s="1"/>
  <c r="AO29" i="1"/>
  <c r="AG29" i="1"/>
  <c r="AH29" i="1" s="1"/>
  <c r="AE29" i="1"/>
  <c r="BC29" i="1" s="1"/>
  <c r="AD29" i="1"/>
  <c r="AC29" i="1"/>
  <c r="AF29" i="1" s="1"/>
  <c r="Y29" i="1"/>
  <c r="U29" i="1"/>
  <c r="W29" i="1" s="1"/>
  <c r="X29" i="1" s="1"/>
  <c r="P29" i="1"/>
  <c r="Q29" i="1" s="1"/>
  <c r="N29" i="1"/>
  <c r="E29" i="1"/>
  <c r="H29" i="1" s="1"/>
  <c r="BL28" i="1"/>
  <c r="BJ28" i="1"/>
  <c r="AU28" i="1"/>
  <c r="AW28" i="1" s="1"/>
  <c r="AX28" i="1" s="1"/>
  <c r="AQ28" i="1"/>
  <c r="AR28" i="1" s="1"/>
  <c r="AO28" i="1"/>
  <c r="AE28" i="1"/>
  <c r="BC28" i="1" s="1"/>
  <c r="AD28" i="1"/>
  <c r="AC28" i="1"/>
  <c r="AF28" i="1" s="1"/>
  <c r="AG28" i="1" s="1"/>
  <c r="AH28" i="1" s="1"/>
  <c r="Y28" i="1"/>
  <c r="X28" i="1"/>
  <c r="U28" i="1"/>
  <c r="W28" i="1" s="1"/>
  <c r="N28" i="1"/>
  <c r="P28" i="1" s="1"/>
  <c r="Q28" i="1" s="1"/>
  <c r="H28" i="1"/>
  <c r="E28" i="1"/>
  <c r="BO27" i="1"/>
  <c r="BM27" i="1"/>
  <c r="BK27" i="1"/>
  <c r="BJ27" i="1"/>
  <c r="BN27" i="1" s="1"/>
  <c r="AW27" i="1"/>
  <c r="AX27" i="1" s="1"/>
  <c r="AU27" i="1"/>
  <c r="AO27" i="1"/>
  <c r="AQ27" i="1" s="1"/>
  <c r="AR27" i="1" s="1"/>
  <c r="AE27" i="1"/>
  <c r="AD27" i="1"/>
  <c r="AF27" i="1" s="1"/>
  <c r="AG27" i="1" s="1"/>
  <c r="AH27" i="1" s="1"/>
  <c r="AC27" i="1"/>
  <c r="Y27" i="1"/>
  <c r="AI27" i="1" s="1"/>
  <c r="AK27" i="1" s="1"/>
  <c r="AL27" i="1" s="1"/>
  <c r="W27" i="1"/>
  <c r="X27" i="1" s="1"/>
  <c r="U27" i="1"/>
  <c r="N27" i="1"/>
  <c r="P27" i="1" s="1"/>
  <c r="Q27" i="1" s="1"/>
  <c r="H27" i="1"/>
  <c r="AY27" i="1" s="1"/>
  <c r="E27" i="1"/>
  <c r="BO26" i="1"/>
  <c r="BM26" i="1"/>
  <c r="BK26" i="1"/>
  <c r="BJ26" i="1"/>
  <c r="BN26" i="1" s="1"/>
  <c r="AW26" i="1"/>
  <c r="AX26" i="1" s="1"/>
  <c r="AU26" i="1"/>
  <c r="AO26" i="1"/>
  <c r="AQ26" i="1" s="1"/>
  <c r="AR26" i="1" s="1"/>
  <c r="AE26" i="1"/>
  <c r="AD26" i="1"/>
  <c r="AF26" i="1" s="1"/>
  <c r="AG26" i="1" s="1"/>
  <c r="AH26" i="1" s="1"/>
  <c r="AC26" i="1"/>
  <c r="Y26" i="1"/>
  <c r="AI26" i="1" s="1"/>
  <c r="AK26" i="1" s="1"/>
  <c r="AL26" i="1" s="1"/>
  <c r="W26" i="1"/>
  <c r="X26" i="1" s="1"/>
  <c r="U26" i="1"/>
  <c r="N26" i="1"/>
  <c r="P26" i="1" s="1"/>
  <c r="Q26" i="1" s="1"/>
  <c r="H26" i="1"/>
  <c r="AY26" i="1" s="1"/>
  <c r="E26" i="1"/>
  <c r="BO25" i="1"/>
  <c r="BM25" i="1"/>
  <c r="BK25" i="1"/>
  <c r="BJ25" i="1"/>
  <c r="BN25" i="1" s="1"/>
  <c r="AW25" i="1"/>
  <c r="AX25" i="1" s="1"/>
  <c r="AU25" i="1"/>
  <c r="AO25" i="1"/>
  <c r="AQ25" i="1" s="1"/>
  <c r="AR25" i="1" s="1"/>
  <c r="AE25" i="1"/>
  <c r="AD25" i="1"/>
  <c r="AF25" i="1" s="1"/>
  <c r="AG25" i="1" s="1"/>
  <c r="AH25" i="1" s="1"/>
  <c r="AC25" i="1"/>
  <c r="Y25" i="1"/>
  <c r="AI25" i="1" s="1"/>
  <c r="AK25" i="1" s="1"/>
  <c r="AL25" i="1" s="1"/>
  <c r="W25" i="1"/>
  <c r="X25" i="1" s="1"/>
  <c r="U25" i="1"/>
  <c r="N25" i="1"/>
  <c r="P25" i="1" s="1"/>
  <c r="Q25" i="1" s="1"/>
  <c r="H25" i="1"/>
  <c r="AY25" i="1" s="1"/>
  <c r="E25" i="1"/>
  <c r="BO24" i="1"/>
  <c r="BM24" i="1"/>
  <c r="BK24" i="1"/>
  <c r="BJ24" i="1"/>
  <c r="BN24" i="1" s="1"/>
  <c r="AW24" i="1"/>
  <c r="AX24" i="1" s="1"/>
  <c r="AU24" i="1"/>
  <c r="AO24" i="1"/>
  <c r="AQ24" i="1" s="1"/>
  <c r="AR24" i="1" s="1"/>
  <c r="AE24" i="1"/>
  <c r="AD24" i="1"/>
  <c r="AF24" i="1" s="1"/>
  <c r="AG24" i="1" s="1"/>
  <c r="AH24" i="1" s="1"/>
  <c r="AC24" i="1"/>
  <c r="Y24" i="1"/>
  <c r="AI24" i="1" s="1"/>
  <c r="AK24" i="1" s="1"/>
  <c r="AL24" i="1" s="1"/>
  <c r="W24" i="1"/>
  <c r="X24" i="1" s="1"/>
  <c r="U24" i="1"/>
  <c r="N24" i="1"/>
  <c r="P24" i="1" s="1"/>
  <c r="Q24" i="1" s="1"/>
  <c r="H24" i="1"/>
  <c r="AY24" i="1" s="1"/>
  <c r="E24" i="1"/>
  <c r="BO23" i="1"/>
  <c r="BM23" i="1"/>
  <c r="BK23" i="1"/>
  <c r="BJ23" i="1"/>
  <c r="BN23" i="1" s="1"/>
  <c r="AW23" i="1"/>
  <c r="AX23" i="1" s="1"/>
  <c r="AU23" i="1"/>
  <c r="AO23" i="1"/>
  <c r="AQ23" i="1" s="1"/>
  <c r="AR23" i="1" s="1"/>
  <c r="AE23" i="1"/>
  <c r="AD23" i="1"/>
  <c r="AF23" i="1" s="1"/>
  <c r="AG23" i="1" s="1"/>
  <c r="AH23" i="1" s="1"/>
  <c r="AC23" i="1"/>
  <c r="Y23" i="1"/>
  <c r="AI23" i="1" s="1"/>
  <c r="AK23" i="1" s="1"/>
  <c r="AL23" i="1" s="1"/>
  <c r="W23" i="1"/>
  <c r="X23" i="1" s="1"/>
  <c r="U23" i="1"/>
  <c r="N23" i="1"/>
  <c r="P23" i="1" s="1"/>
  <c r="Q23" i="1" s="1"/>
  <c r="H23" i="1"/>
  <c r="AY23" i="1" s="1"/>
  <c r="E23" i="1"/>
  <c r="BO22" i="1"/>
  <c r="BM22" i="1"/>
  <c r="BK22" i="1"/>
  <c r="BJ22" i="1"/>
  <c r="BN22" i="1" s="1"/>
  <c r="AW22" i="1"/>
  <c r="AX22" i="1" s="1"/>
  <c r="AU22" i="1"/>
  <c r="AO22" i="1"/>
  <c r="AQ22" i="1" s="1"/>
  <c r="AR22" i="1" s="1"/>
  <c r="AE22" i="1"/>
  <c r="AD22" i="1"/>
  <c r="AF22" i="1" s="1"/>
  <c r="AG22" i="1" s="1"/>
  <c r="AH22" i="1" s="1"/>
  <c r="AC22" i="1"/>
  <c r="Y22" i="1"/>
  <c r="AI22" i="1" s="1"/>
  <c r="AK22" i="1" s="1"/>
  <c r="AL22" i="1" s="1"/>
  <c r="W22" i="1"/>
  <c r="X22" i="1" s="1"/>
  <c r="U22" i="1"/>
  <c r="N22" i="1"/>
  <c r="P22" i="1" s="1"/>
  <c r="Q22" i="1" s="1"/>
  <c r="H22" i="1"/>
  <c r="AY22" i="1" s="1"/>
  <c r="E22" i="1"/>
  <c r="BO21" i="1"/>
  <c r="BM21" i="1"/>
  <c r="BK21" i="1"/>
  <c r="BJ21" i="1"/>
  <c r="BN21" i="1" s="1"/>
  <c r="AW21" i="1"/>
  <c r="AX21" i="1" s="1"/>
  <c r="AU21" i="1"/>
  <c r="AO21" i="1"/>
  <c r="AQ21" i="1" s="1"/>
  <c r="AR21" i="1" s="1"/>
  <c r="AE21" i="1"/>
  <c r="AD21" i="1"/>
  <c r="AF21" i="1" s="1"/>
  <c r="AG21" i="1" s="1"/>
  <c r="AH21" i="1" s="1"/>
  <c r="AC21" i="1"/>
  <c r="Y21" i="1"/>
  <c r="AI21" i="1" s="1"/>
  <c r="AK21" i="1" s="1"/>
  <c r="AL21" i="1" s="1"/>
  <c r="W21" i="1"/>
  <c r="X21" i="1" s="1"/>
  <c r="U21" i="1"/>
  <c r="N21" i="1"/>
  <c r="P21" i="1" s="1"/>
  <c r="Q21" i="1" s="1"/>
  <c r="H21" i="1"/>
  <c r="AY21" i="1" s="1"/>
  <c r="E21" i="1"/>
  <c r="BO20" i="1"/>
  <c r="BM20" i="1"/>
  <c r="BK20" i="1"/>
  <c r="BJ20" i="1"/>
  <c r="BN20" i="1" s="1"/>
  <c r="AW20" i="1"/>
  <c r="AX20" i="1" s="1"/>
  <c r="AU20" i="1"/>
  <c r="AO20" i="1"/>
  <c r="AQ20" i="1" s="1"/>
  <c r="AR20" i="1" s="1"/>
  <c r="AE20" i="1"/>
  <c r="AD20" i="1"/>
  <c r="AF20" i="1" s="1"/>
  <c r="AG20" i="1" s="1"/>
  <c r="AH20" i="1" s="1"/>
  <c r="AC20" i="1"/>
  <c r="Y20" i="1"/>
  <c r="AI20" i="1" s="1"/>
  <c r="AK20" i="1" s="1"/>
  <c r="AL20" i="1" s="1"/>
  <c r="W20" i="1"/>
  <c r="X20" i="1" s="1"/>
  <c r="U20" i="1"/>
  <c r="N20" i="1"/>
  <c r="P20" i="1" s="1"/>
  <c r="Q20" i="1" s="1"/>
  <c r="H20" i="1"/>
  <c r="AY20" i="1" s="1"/>
  <c r="E20" i="1"/>
  <c r="BO19" i="1"/>
  <c r="BM19" i="1"/>
  <c r="BK19" i="1"/>
  <c r="BJ19" i="1"/>
  <c r="BN19" i="1" s="1"/>
  <c r="AW19" i="1"/>
  <c r="AX19" i="1" s="1"/>
  <c r="AU19" i="1"/>
  <c r="AR19" i="1"/>
  <c r="AO19" i="1"/>
  <c r="AQ19" i="1" s="1"/>
  <c r="AE19" i="1"/>
  <c r="AD19" i="1"/>
  <c r="BC19" i="1" s="1"/>
  <c r="AC19" i="1"/>
  <c r="Y19" i="1"/>
  <c r="AI19" i="1" s="1"/>
  <c r="AK19" i="1" s="1"/>
  <c r="AL19" i="1" s="1"/>
  <c r="W19" i="1"/>
  <c r="X19" i="1" s="1"/>
  <c r="U19" i="1"/>
  <c r="N19" i="1"/>
  <c r="P19" i="1" s="1"/>
  <c r="Q19" i="1" s="1"/>
  <c r="H19" i="1"/>
  <c r="AY19" i="1" s="1"/>
  <c r="E19" i="1"/>
  <c r="BO18" i="1"/>
  <c r="BM18" i="1"/>
  <c r="BK18" i="1"/>
  <c r="BJ18" i="1"/>
  <c r="BN18" i="1" s="1"/>
  <c r="BF18" i="1"/>
  <c r="AV18" i="1"/>
  <c r="AX18" i="1" s="1"/>
  <c r="AU18" i="1"/>
  <c r="AO18" i="1"/>
  <c r="AP18" i="1" s="1"/>
  <c r="AR18" i="1" s="1"/>
  <c r="AE18" i="1"/>
  <c r="AD18" i="1"/>
  <c r="BC18" i="1" s="1"/>
  <c r="AC18" i="1"/>
  <c r="Y18" i="1"/>
  <c r="AI18" i="1" s="1"/>
  <c r="AJ18" i="1" s="1"/>
  <c r="AL18" i="1" s="1"/>
  <c r="V18" i="1"/>
  <c r="X18" i="1" s="1"/>
  <c r="U18" i="1"/>
  <c r="Q18" i="1"/>
  <c r="N18" i="1"/>
  <c r="O18" i="1" s="1"/>
  <c r="H18" i="1"/>
  <c r="AY18" i="1" s="1"/>
  <c r="E18" i="1"/>
  <c r="BO17" i="1"/>
  <c r="BM17" i="1"/>
  <c r="BK17" i="1"/>
  <c r="BJ17" i="1"/>
  <c r="BN17" i="1" s="1"/>
  <c r="AV17" i="1"/>
  <c r="AX17" i="1" s="1"/>
  <c r="AU17" i="1"/>
  <c r="AR17" i="1"/>
  <c r="AO17" i="1"/>
  <c r="AP17" i="1" s="1"/>
  <c r="AE17" i="1"/>
  <c r="AD17" i="1"/>
  <c r="BC17" i="1" s="1"/>
  <c r="AC17" i="1"/>
  <c r="Y17" i="1"/>
  <c r="AI17" i="1" s="1"/>
  <c r="AJ17" i="1" s="1"/>
  <c r="AL17" i="1" s="1"/>
  <c r="V17" i="1"/>
  <c r="X17" i="1" s="1"/>
  <c r="U17" i="1"/>
  <c r="N17" i="1"/>
  <c r="O17" i="1" s="1"/>
  <c r="Q17" i="1" s="1"/>
  <c r="H17" i="1"/>
  <c r="AY17" i="1" s="1"/>
  <c r="E17" i="1"/>
  <c r="BO16" i="1"/>
  <c r="BM16" i="1"/>
  <c r="BK16" i="1"/>
  <c r="BJ16" i="1"/>
  <c r="BN16" i="1" s="1"/>
  <c r="AU16" i="1"/>
  <c r="AV16" i="1" s="1"/>
  <c r="AX16" i="1" s="1"/>
  <c r="AP16" i="1"/>
  <c r="AR16" i="1" s="1"/>
  <c r="AO16" i="1"/>
  <c r="AE16" i="1"/>
  <c r="BC16" i="1" s="1"/>
  <c r="AD16" i="1"/>
  <c r="AC16" i="1"/>
  <c r="AF16" i="1" s="1"/>
  <c r="AG16" i="1" s="1"/>
  <c r="AH16" i="1" s="1"/>
  <c r="Y16" i="1"/>
  <c r="U16" i="1"/>
  <c r="V16" i="1" s="1"/>
  <c r="X16" i="1" s="1"/>
  <c r="O16" i="1"/>
  <c r="Q16" i="1" s="1"/>
  <c r="N16" i="1"/>
  <c r="E16" i="1"/>
  <c r="H16" i="1" s="1"/>
  <c r="BJ15" i="1"/>
  <c r="BO15" i="1" s="1"/>
  <c r="AU15" i="1"/>
  <c r="AW15" i="1" s="1"/>
  <c r="AX15" i="1" s="1"/>
  <c r="AQ15" i="1"/>
  <c r="AR15" i="1" s="1"/>
  <c r="AO15" i="1"/>
  <c r="AE15" i="1"/>
  <c r="BC15" i="1" s="1"/>
  <c r="AD15" i="1"/>
  <c r="AC15" i="1"/>
  <c r="AF15" i="1" s="1"/>
  <c r="AG15" i="1" s="1"/>
  <c r="AH15" i="1" s="1"/>
  <c r="Y15" i="1"/>
  <c r="U15" i="1"/>
  <c r="W15" i="1" s="1"/>
  <c r="X15" i="1" s="1"/>
  <c r="P15" i="1"/>
  <c r="Q15" i="1" s="1"/>
  <c r="N15" i="1"/>
  <c r="E15" i="1"/>
  <c r="H15" i="1" s="1"/>
  <c r="BJ14" i="1"/>
  <c r="BO14" i="1" s="1"/>
  <c r="AU14" i="1"/>
  <c r="AV14" i="1" s="1"/>
  <c r="AX14" i="1" s="1"/>
  <c r="AP14" i="1"/>
  <c r="AR14" i="1" s="1"/>
  <c r="AO14" i="1"/>
  <c r="AE14" i="1"/>
  <c r="BC14" i="1" s="1"/>
  <c r="AD14" i="1"/>
  <c r="AC14" i="1"/>
  <c r="AF14" i="1" s="1"/>
  <c r="AG14" i="1" s="1"/>
  <c r="AH14" i="1" s="1"/>
  <c r="Y14" i="1"/>
  <c r="U14" i="1"/>
  <c r="V14" i="1" s="1"/>
  <c r="X14" i="1" s="1"/>
  <c r="O14" i="1"/>
  <c r="Q14" i="1" s="1"/>
  <c r="N14" i="1"/>
  <c r="E14" i="1"/>
  <c r="H14" i="1" s="1"/>
  <c r="BJ13" i="1"/>
  <c r="BO13" i="1" s="1"/>
  <c r="AU13" i="1"/>
  <c r="AV13" i="1" s="1"/>
  <c r="AX13" i="1" s="1"/>
  <c r="AP13" i="1"/>
  <c r="AR13" i="1" s="1"/>
  <c r="AO13" i="1"/>
  <c r="AE13" i="1"/>
  <c r="BC13" i="1" s="1"/>
  <c r="AD13" i="1"/>
  <c r="AC13" i="1"/>
  <c r="AF13" i="1" s="1"/>
  <c r="AG13" i="1" s="1"/>
  <c r="AH13" i="1" s="1"/>
  <c r="Y13" i="1"/>
  <c r="U13" i="1"/>
  <c r="V13" i="1" s="1"/>
  <c r="X13" i="1" s="1"/>
  <c r="O13" i="1"/>
  <c r="Q13" i="1" s="1"/>
  <c r="N13" i="1"/>
  <c r="E13" i="1"/>
  <c r="H13" i="1" s="1"/>
  <c r="BJ12" i="1"/>
  <c r="BO12" i="1" s="1"/>
  <c r="AU12" i="1"/>
  <c r="AV12" i="1" s="1"/>
  <c r="AX12" i="1" s="1"/>
  <c r="AP12" i="1"/>
  <c r="AR12" i="1" s="1"/>
  <c r="AO12" i="1"/>
  <c r="AE12" i="1"/>
  <c r="BC12" i="1" s="1"/>
  <c r="AD12" i="1"/>
  <c r="AC12" i="1"/>
  <c r="AF12" i="1" s="1"/>
  <c r="AG12" i="1" s="1"/>
  <c r="AH12" i="1" s="1"/>
  <c r="Y12" i="1"/>
  <c r="U12" i="1"/>
  <c r="V12" i="1" s="1"/>
  <c r="X12" i="1" s="1"/>
  <c r="O12" i="1"/>
  <c r="Q12" i="1" s="1"/>
  <c r="N12" i="1"/>
  <c r="E12" i="1"/>
  <c r="H12" i="1" s="1"/>
  <c r="BJ11" i="1"/>
  <c r="BO11" i="1" s="1"/>
  <c r="AU11" i="1"/>
  <c r="AW11" i="1" s="1"/>
  <c r="AX11" i="1" s="1"/>
  <c r="AQ11" i="1"/>
  <c r="AR11" i="1" s="1"/>
  <c r="AO11" i="1"/>
  <c r="AE11" i="1"/>
  <c r="BC11" i="1" s="1"/>
  <c r="AD11" i="1"/>
  <c r="AC11" i="1"/>
  <c r="AF11" i="1" s="1"/>
  <c r="AG11" i="1" s="1"/>
  <c r="AH11" i="1" s="1"/>
  <c r="Y11" i="1"/>
  <c r="U11" i="1"/>
  <c r="W11" i="1" s="1"/>
  <c r="X11" i="1" s="1"/>
  <c r="P11" i="1"/>
  <c r="Q11" i="1" s="1"/>
  <c r="N11" i="1"/>
  <c r="E11" i="1"/>
  <c r="H11" i="1" s="1"/>
  <c r="BJ10" i="1"/>
  <c r="BO10" i="1" s="1"/>
  <c r="AU10" i="1"/>
  <c r="AV10" i="1" s="1"/>
  <c r="AX10" i="1" s="1"/>
  <c r="AP10" i="1"/>
  <c r="AR10" i="1" s="1"/>
  <c r="AO10" i="1"/>
  <c r="AE10" i="1"/>
  <c r="AE43" i="1" s="1"/>
  <c r="AD10" i="1"/>
  <c r="AD43" i="1" s="1"/>
  <c r="AC10" i="1"/>
  <c r="AC43" i="1" s="1"/>
  <c r="Y10" i="1"/>
  <c r="Y43" i="1" s="1"/>
  <c r="U10" i="1"/>
  <c r="V10" i="1" s="1"/>
  <c r="X10" i="1" s="1"/>
  <c r="O10" i="1"/>
  <c r="Q10" i="1" s="1"/>
  <c r="N10" i="1"/>
  <c r="E10" i="1"/>
  <c r="H10" i="1" s="1"/>
  <c r="BH11" i="1" l="1"/>
  <c r="BF11" i="1"/>
  <c r="BD11" i="1"/>
  <c r="BG11" i="1"/>
  <c r="BE11" i="1"/>
  <c r="BH12" i="1"/>
  <c r="BF12" i="1"/>
  <c r="BD12" i="1"/>
  <c r="BG12" i="1"/>
  <c r="BE12" i="1"/>
  <c r="BH13" i="1"/>
  <c r="BF13" i="1"/>
  <c r="BD13" i="1"/>
  <c r="BG13" i="1"/>
  <c r="BE13" i="1"/>
  <c r="BH14" i="1"/>
  <c r="BF14" i="1"/>
  <c r="BD14" i="1"/>
  <c r="BG14" i="1"/>
  <c r="BE14" i="1"/>
  <c r="BH15" i="1"/>
  <c r="BF15" i="1"/>
  <c r="BD15" i="1"/>
  <c r="BG15" i="1"/>
  <c r="BE15" i="1"/>
  <c r="BG16" i="1"/>
  <c r="BE16" i="1"/>
  <c r="BH16" i="1"/>
  <c r="BD16" i="1"/>
  <c r="BF16" i="1"/>
  <c r="AI10" i="1"/>
  <c r="AJ10" i="1" s="1"/>
  <c r="AL10" i="1" s="1"/>
  <c r="AY10" i="1" s="1"/>
  <c r="BC10" i="1"/>
  <c r="BL10" i="1"/>
  <c r="BN10" i="1"/>
  <c r="AI11" i="1"/>
  <c r="AK11" i="1" s="1"/>
  <c r="AL11" i="1" s="1"/>
  <c r="AY11" i="1" s="1"/>
  <c r="BL11" i="1"/>
  <c r="BN11" i="1"/>
  <c r="AI12" i="1"/>
  <c r="AJ12" i="1" s="1"/>
  <c r="AL12" i="1" s="1"/>
  <c r="AY12" i="1" s="1"/>
  <c r="BL12" i="1"/>
  <c r="BN12" i="1"/>
  <c r="AI13" i="1"/>
  <c r="AJ13" i="1" s="1"/>
  <c r="AL13" i="1" s="1"/>
  <c r="AY13" i="1" s="1"/>
  <c r="BL13" i="1"/>
  <c r="BN13" i="1"/>
  <c r="AI14" i="1"/>
  <c r="AJ14" i="1" s="1"/>
  <c r="AL14" i="1" s="1"/>
  <c r="AY14" i="1" s="1"/>
  <c r="BL14" i="1"/>
  <c r="BN14" i="1"/>
  <c r="AI15" i="1"/>
  <c r="AK15" i="1" s="1"/>
  <c r="AL15" i="1" s="1"/>
  <c r="AY15" i="1" s="1"/>
  <c r="BL15" i="1"/>
  <c r="BN15" i="1"/>
  <c r="AI16" i="1"/>
  <c r="AJ16" i="1" s="1"/>
  <c r="AL16" i="1" s="1"/>
  <c r="AY16" i="1" s="1"/>
  <c r="BG17" i="1"/>
  <c r="BE17" i="1"/>
  <c r="AF17" i="1"/>
  <c r="AG17" i="1" s="1"/>
  <c r="AH17" i="1" s="1"/>
  <c r="BD17" i="1"/>
  <c r="BH17" i="1"/>
  <c r="BG19" i="1"/>
  <c r="BE19" i="1"/>
  <c r="AF19" i="1"/>
  <c r="AG19" i="1" s="1"/>
  <c r="AH19" i="1" s="1"/>
  <c r="BD19" i="1"/>
  <c r="BH19" i="1"/>
  <c r="BH29" i="1"/>
  <c r="BF29" i="1"/>
  <c r="BD29" i="1"/>
  <c r="BE29" i="1"/>
  <c r="BG29" i="1"/>
  <c r="BG30" i="1"/>
  <c r="BE30" i="1"/>
  <c r="BH30" i="1"/>
  <c r="BF30" i="1"/>
  <c r="BD30" i="1"/>
  <c r="AF10" i="1"/>
  <c r="AG10" i="1" s="1"/>
  <c r="AH10" i="1" s="1"/>
  <c r="BK10" i="1"/>
  <c r="BM10" i="1"/>
  <c r="BK11" i="1"/>
  <c r="BM11" i="1"/>
  <c r="BK12" i="1"/>
  <c r="BM12" i="1"/>
  <c r="BK13" i="1"/>
  <c r="BM13" i="1"/>
  <c r="BK14" i="1"/>
  <c r="BM14" i="1"/>
  <c r="BK15" i="1"/>
  <c r="BM15" i="1"/>
  <c r="BF17" i="1"/>
  <c r="BG18" i="1"/>
  <c r="BE18" i="1"/>
  <c r="AF18" i="1"/>
  <c r="AG18" i="1" s="1"/>
  <c r="AH18" i="1" s="1"/>
  <c r="BD18" i="1"/>
  <c r="BH18" i="1"/>
  <c r="BF19" i="1"/>
  <c r="BH28" i="1"/>
  <c r="BF28" i="1"/>
  <c r="BD28" i="1"/>
  <c r="BG28" i="1"/>
  <c r="BE28" i="1"/>
  <c r="BL16" i="1"/>
  <c r="BL17" i="1"/>
  <c r="BL18" i="1"/>
  <c r="BL19" i="1"/>
  <c r="BC20" i="1"/>
  <c r="BL20" i="1"/>
  <c r="BC21" i="1"/>
  <c r="BL21" i="1"/>
  <c r="BC22" i="1"/>
  <c r="BL22" i="1"/>
  <c r="BC23" i="1"/>
  <c r="BL23" i="1"/>
  <c r="BC24" i="1"/>
  <c r="BL24" i="1"/>
  <c r="BC25" i="1"/>
  <c r="BL25" i="1"/>
  <c r="BC26" i="1"/>
  <c r="BL26" i="1"/>
  <c r="BC27" i="1"/>
  <c r="BL27" i="1"/>
  <c r="BO28" i="1"/>
  <c r="BO43" i="1" s="1"/>
  <c r="BM28" i="1"/>
  <c r="BK28" i="1"/>
  <c r="BN28" i="1"/>
  <c r="AI29" i="1"/>
  <c r="AK29" i="1" s="1"/>
  <c r="AL29" i="1" s="1"/>
  <c r="AY29" i="1" s="1"/>
  <c r="BG31" i="1"/>
  <c r="BE31" i="1"/>
  <c r="BH31" i="1"/>
  <c r="BF31" i="1"/>
  <c r="BD31" i="1"/>
  <c r="AY32" i="1"/>
  <c r="AY33" i="1"/>
  <c r="AY34" i="1"/>
  <c r="AY35" i="1"/>
  <c r="AY36" i="1"/>
  <c r="BH38" i="1"/>
  <c r="BF38" i="1"/>
  <c r="BD38" i="1"/>
  <c r="BG38" i="1"/>
  <c r="BE38" i="1"/>
  <c r="AI28" i="1"/>
  <c r="AK28" i="1" s="1"/>
  <c r="AL28" i="1" s="1"/>
  <c r="AY28" i="1" s="1"/>
  <c r="BO29" i="1"/>
  <c r="BM29" i="1"/>
  <c r="BK29" i="1"/>
  <c r="BN29" i="1"/>
  <c r="AI30" i="1"/>
  <c r="AK30" i="1" s="1"/>
  <c r="AL30" i="1" s="1"/>
  <c r="AY30" i="1" s="1"/>
  <c r="BG32" i="1"/>
  <c r="BE32" i="1"/>
  <c r="BH32" i="1"/>
  <c r="BF32" i="1"/>
  <c r="BD32" i="1"/>
  <c r="BG33" i="1"/>
  <c r="BE33" i="1"/>
  <c r="BH33" i="1"/>
  <c r="BF33" i="1"/>
  <c r="BD33" i="1"/>
  <c r="BG34" i="1"/>
  <c r="BE34" i="1"/>
  <c r="BH34" i="1"/>
  <c r="BF34" i="1"/>
  <c r="BD34" i="1"/>
  <c r="BG35" i="1"/>
  <c r="BE35" i="1"/>
  <c r="BH35" i="1"/>
  <c r="BF35" i="1"/>
  <c r="BD35" i="1"/>
  <c r="BG36" i="1"/>
  <c r="BE36" i="1"/>
  <c r="BH36" i="1"/>
  <c r="BF36" i="1"/>
  <c r="BD36" i="1"/>
  <c r="BG37" i="1"/>
  <c r="BE37" i="1"/>
  <c r="BH37" i="1"/>
  <c r="BF37" i="1"/>
  <c r="BD37" i="1"/>
  <c r="BK30" i="1"/>
  <c r="BM30" i="1"/>
  <c r="BO30" i="1"/>
  <c r="AF31" i="1"/>
  <c r="AG31" i="1" s="1"/>
  <c r="AH31" i="1" s="1"/>
  <c r="BK31" i="1"/>
  <c r="BM31" i="1"/>
  <c r="BO31" i="1"/>
  <c r="AF32" i="1"/>
  <c r="AG32" i="1" s="1"/>
  <c r="AH32" i="1" s="1"/>
  <c r="BK32" i="1"/>
  <c r="BM32" i="1"/>
  <c r="BO32" i="1"/>
  <c r="AF33" i="1"/>
  <c r="AG33" i="1" s="1"/>
  <c r="AH33" i="1" s="1"/>
  <c r="BK33" i="1"/>
  <c r="BM33" i="1"/>
  <c r="BO33" i="1"/>
  <c r="AF34" i="1"/>
  <c r="AG34" i="1" s="1"/>
  <c r="AH34" i="1" s="1"/>
  <c r="BK34" i="1"/>
  <c r="BM34" i="1"/>
  <c r="BO34" i="1"/>
  <c r="AF35" i="1"/>
  <c r="AG35" i="1" s="1"/>
  <c r="AH35" i="1" s="1"/>
  <c r="BK35" i="1"/>
  <c r="BM35" i="1"/>
  <c r="BO35" i="1"/>
  <c r="AF36" i="1"/>
  <c r="AG36" i="1" s="1"/>
  <c r="AH36" i="1" s="1"/>
  <c r="BK36" i="1"/>
  <c r="BM36" i="1"/>
  <c r="BO36" i="1"/>
  <c r="AF37" i="1"/>
  <c r="AG37" i="1" s="1"/>
  <c r="AH37" i="1" s="1"/>
  <c r="BK37" i="1"/>
  <c r="BM37" i="1"/>
  <c r="BO37" i="1"/>
  <c r="BO38" i="1"/>
  <c r="BM38" i="1"/>
  <c r="BK38" i="1"/>
  <c r="BN38" i="1"/>
  <c r="AY40" i="1"/>
  <c r="AY41" i="1"/>
  <c r="AY42" i="1"/>
  <c r="BL30" i="1"/>
  <c r="BL31" i="1"/>
  <c r="BL32" i="1"/>
  <c r="BL33" i="1"/>
  <c r="BL34" i="1"/>
  <c r="BL35" i="1"/>
  <c r="BL36" i="1"/>
  <c r="BL37" i="1"/>
  <c r="AI38" i="1"/>
  <c r="AK38" i="1" s="1"/>
  <c r="AL38" i="1" s="1"/>
  <c r="AY38" i="1" s="1"/>
  <c r="BG39" i="1"/>
  <c r="BE39" i="1"/>
  <c r="BH39" i="1"/>
  <c r="BF39" i="1"/>
  <c r="BD39" i="1"/>
  <c r="BG40" i="1"/>
  <c r="BE40" i="1"/>
  <c r="BH40" i="1"/>
  <c r="BF40" i="1"/>
  <c r="BD40" i="1"/>
  <c r="BG41" i="1"/>
  <c r="BE41" i="1"/>
  <c r="BH41" i="1"/>
  <c r="BF41" i="1"/>
  <c r="BD41" i="1"/>
  <c r="BG42" i="1"/>
  <c r="BE42" i="1"/>
  <c r="BH42" i="1"/>
  <c r="BF42" i="1"/>
  <c r="BD42" i="1"/>
  <c r="AF39" i="1"/>
  <c r="AG39" i="1" s="1"/>
  <c r="AH39" i="1" s="1"/>
  <c r="BK39" i="1"/>
  <c r="BM39" i="1"/>
  <c r="BO39" i="1"/>
  <c r="AF40" i="1"/>
  <c r="AG40" i="1" s="1"/>
  <c r="AH40" i="1" s="1"/>
  <c r="BK40" i="1"/>
  <c r="BM40" i="1"/>
  <c r="BO40" i="1"/>
  <c r="AF41" i="1"/>
  <c r="AG41" i="1" s="1"/>
  <c r="AH41" i="1" s="1"/>
  <c r="BK41" i="1"/>
  <c r="BM41" i="1"/>
  <c r="BO41" i="1"/>
  <c r="BK42" i="1"/>
  <c r="BM42" i="1"/>
  <c r="BO42" i="1"/>
  <c r="BL39" i="1"/>
  <c r="BL40" i="1"/>
  <c r="BL41" i="1"/>
  <c r="BL42" i="1"/>
  <c r="BH27" i="1" l="1"/>
  <c r="BF27" i="1"/>
  <c r="BD27" i="1"/>
  <c r="BG27" i="1"/>
  <c r="BE27" i="1"/>
  <c r="BH26" i="1"/>
  <c r="BF26" i="1"/>
  <c r="BD26" i="1"/>
  <c r="BG26" i="1"/>
  <c r="BE26" i="1"/>
  <c r="BH25" i="1"/>
  <c r="BF25" i="1"/>
  <c r="BD25" i="1"/>
  <c r="BG25" i="1"/>
  <c r="BE25" i="1"/>
  <c r="BH24" i="1"/>
  <c r="BF24" i="1"/>
  <c r="BD24" i="1"/>
  <c r="BG24" i="1"/>
  <c r="BE24" i="1"/>
  <c r="BH23" i="1"/>
  <c r="BF23" i="1"/>
  <c r="BD23" i="1"/>
  <c r="BG23" i="1"/>
  <c r="BE23" i="1"/>
  <c r="BH22" i="1"/>
  <c r="BF22" i="1"/>
  <c r="BD22" i="1"/>
  <c r="BG22" i="1"/>
  <c r="BE22" i="1"/>
  <c r="BH21" i="1"/>
  <c r="BF21" i="1"/>
  <c r="BD21" i="1"/>
  <c r="BG21" i="1"/>
  <c r="BE21" i="1"/>
  <c r="BH20" i="1"/>
  <c r="BF20" i="1"/>
  <c r="BD20" i="1"/>
  <c r="BG20" i="1"/>
  <c r="BE20" i="1"/>
  <c r="BM43" i="1"/>
  <c r="BN43" i="1"/>
  <c r="BH10" i="1"/>
  <c r="BH43" i="1" s="1"/>
  <c r="BF10" i="1"/>
  <c r="BD10" i="1"/>
  <c r="BD43" i="1" s="1"/>
  <c r="BG10" i="1"/>
  <c r="BE10" i="1"/>
  <c r="BE43" i="1" s="1"/>
  <c r="BK43" i="1"/>
  <c r="BL43" i="1"/>
  <c r="BG43" i="1" l="1"/>
  <c r="BF43" i="1"/>
</calcChain>
</file>

<file path=xl/sharedStrings.xml><?xml version="1.0" encoding="utf-8"?>
<sst xmlns="http://schemas.openxmlformats.org/spreadsheetml/2006/main" count="145" uniqueCount="107">
  <si>
    <t>Мониторинг соблюдения органами местного самоуправления городских округов и муниципальных районов области требований бюджетного законодательства и оценки качества организации и осуществления бюджетного процесса за 2019 год (по состоянию на 01.01.2020)</t>
  </si>
  <si>
    <t>с 21 года ограничение 10% ст. 107 БКРФ</t>
  </si>
  <si>
    <t>тыс.руб.</t>
  </si>
  <si>
    <t>P1</t>
  </si>
  <si>
    <t>P2</t>
  </si>
  <si>
    <t>P3</t>
  </si>
  <si>
    <t>P4</t>
  </si>
  <si>
    <t>P5.1</t>
  </si>
  <si>
    <t>P5.2</t>
  </si>
  <si>
    <r>
      <t xml:space="preserve">Объем заимствований муниципального образования в </t>
    </r>
    <r>
      <rPr>
        <b/>
        <sz val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</si>
  <si>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</si>
  <si>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</si>
  <si>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</si>
  <si>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</si>
  <si>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</si>
  <si>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Удельный вес индикатора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</si>
  <si>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</si>
  <si>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</si>
  <si>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</si>
  <si>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</si>
  <si>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</si>
  <si>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</si>
  <si>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</si>
  <si>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</si>
  <si>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</si>
  <si>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</si>
  <si>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</si>
  <si>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</si>
  <si>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</si>
  <si>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</si>
  <si>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</si>
  <si>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</si>
  <si>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</si>
  <si>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</si>
  <si>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</si>
  <si>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</si>
  <si>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</si>
  <si>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</si>
  <si>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</si>
  <si>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</si>
  <si>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</si>
  <si>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</si>
  <si>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</si>
  <si>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</si>
  <si>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</si>
  <si>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</si>
  <si>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</si>
  <si>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</si>
  <si>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</si>
  <si>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</si>
  <si>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</si>
  <si>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</si>
  <si>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</si>
  <si>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</si>
  <si>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</si>
  <si>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</si>
  <si>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</si>
  <si>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</si>
  <si>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</si>
  <si>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</si>
  <si>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</si>
  <si>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</si>
  <si>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</si>
  <si>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</si>
  <si>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</si>
  <si>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</si>
  <si>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</si>
  <si>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</si>
  <si>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</si>
  <si>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</si>
  <si>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</si>
  <si>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</si>
  <si>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</si>
  <si>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 xml:space="preserve">1. г.Брянск </t>
  </si>
  <si>
    <t>2. Дятьковский р-н</t>
  </si>
  <si>
    <t>3. г.Клинцы</t>
  </si>
  <si>
    <t>4. г.Новозыбков</t>
  </si>
  <si>
    <t>5. г.Сельцо</t>
  </si>
  <si>
    <t>6. Брасовский р-н</t>
  </si>
  <si>
    <t>7. Брянский р-н</t>
  </si>
  <si>
    <t>8. Выгоничский р-н</t>
  </si>
  <si>
    <t>9. Гордеевский р-н</t>
  </si>
  <si>
    <t>10. Дубровский р-н</t>
  </si>
  <si>
    <t>11. Жирятинский р-н</t>
  </si>
  <si>
    <t>12. Жуковский р-н</t>
  </si>
  <si>
    <t>13. Злынковский р-н</t>
  </si>
  <si>
    <t>14. Карачевский р-н</t>
  </si>
  <si>
    <t>15. Клетнянский р-н</t>
  </si>
  <si>
    <t>16. Климовский р-н</t>
  </si>
  <si>
    <t>17. Клинцовский р-н</t>
  </si>
  <si>
    <t>18. Комаричский р-н</t>
  </si>
  <si>
    <t>19. Красногорский р-н</t>
  </si>
  <si>
    <t>20. Мглинский р-н</t>
  </si>
  <si>
    <t>21. Навлинский р-н</t>
  </si>
  <si>
    <t>22. Новозыбковский р-н</t>
  </si>
  <si>
    <t>23. Погарский р-н</t>
  </si>
  <si>
    <t>24. Почепский р-н</t>
  </si>
  <si>
    <t>25. Рогнединский р-н</t>
  </si>
  <si>
    <t>26. Севский р-н</t>
  </si>
  <si>
    <t>27. Стародубский р-н</t>
  </si>
  <si>
    <t>28. Суземский р-н</t>
  </si>
  <si>
    <t>29. Суражский р-н</t>
  </si>
  <si>
    <t>30. Трубчевский р-н</t>
  </si>
  <si>
    <t>31. Унечский р-н</t>
  </si>
  <si>
    <t>34. г.Фокино</t>
  </si>
  <si>
    <t>36. г.Стародуб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</si>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</sst>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000"/>
    <numFmt numFmtId="174" formatCode="0.0_ ;[Red]\-0.0\ "/>
    <numFmt numFmtId="175" formatCode="0.0"/>
    <numFmt numFmtId="176" formatCode="0.0%"/>
    <numFmt numFmtId="177" formatCode="_-* #,##0.0\ _₽_-;\-* #,##0.0\ _₽_-;_-* &quot;-&quot;?\ _₽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0"/>
      <name val="Helv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2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164" fontId="3" fillId="0" borderId="1" xfId="1" applyFont="1" applyBorder="1" applyAlignment="1">
      <alignment horizontal="center" wrapText="1"/>
    </xf>
    <xf numFmtId="165" fontId="0" fillId="0" borderId="0" xfId="0" applyNumberFormat="1"/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7" borderId="7" xfId="0" applyFill="1" applyBorder="1"/>
    <xf numFmtId="0" fontId="0" fillId="7" borderId="0" xfId="0" applyFill="1" applyBorder="1"/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/>
    <xf numFmtId="0" fontId="6" fillId="8" borderId="12" xfId="0" applyFont="1" applyFill="1" applyBorder="1" applyAlignment="1"/>
    <xf numFmtId="0" fontId="6" fillId="8" borderId="13" xfId="0" applyFont="1" applyFill="1" applyBorder="1" applyAlignment="1"/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8" borderId="15" xfId="0" applyFont="1" applyFill="1" applyBorder="1" applyAlignment="1"/>
    <xf numFmtId="0" fontId="0" fillId="7" borderId="16" xfId="0" applyFill="1" applyBorder="1"/>
    <xf numFmtId="0" fontId="2" fillId="9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5" xfId="0" applyBorder="1"/>
    <xf numFmtId="0" fontId="0" fillId="0" borderId="0" xfId="0" applyFill="1" applyBorder="1"/>
    <xf numFmtId="0" fontId="0" fillId="0" borderId="26" xfId="0" applyFill="1" applyBorder="1"/>
    <xf numFmtId="166" fontId="0" fillId="0" borderId="0" xfId="0" applyNumberFormat="1" applyBorder="1"/>
    <xf numFmtId="0" fontId="0" fillId="0" borderId="26" xfId="0" applyBorder="1"/>
    <xf numFmtId="0" fontId="10" fillId="13" borderId="27" xfId="0" applyFont="1" applyFill="1" applyBorder="1" applyAlignment="1">
      <alignment horizontal="center"/>
    </xf>
    <xf numFmtId="0" fontId="10" fillId="13" borderId="22" xfId="0" applyFont="1" applyFill="1" applyBorder="1" applyAlignment="1">
      <alignment horizontal="center"/>
    </xf>
    <xf numFmtId="0" fontId="10" fillId="13" borderId="23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0" fontId="10" fillId="13" borderId="29" xfId="0" applyFont="1" applyFill="1" applyBorder="1" applyAlignment="1">
      <alignment horizontal="center"/>
    </xf>
    <xf numFmtId="0" fontId="6" fillId="13" borderId="22" xfId="0" applyFont="1" applyFill="1" applyBorder="1" applyAlignment="1">
      <alignment horizontal="center"/>
    </xf>
    <xf numFmtId="0" fontId="10" fillId="13" borderId="24" xfId="0" applyFont="1" applyFill="1" applyBorder="1" applyAlignment="1">
      <alignment horizontal="center"/>
    </xf>
    <xf numFmtId="0" fontId="10" fillId="13" borderId="0" xfId="0" applyFont="1" applyFill="1" applyBorder="1" applyAlignment="1">
      <alignment horizontal="center"/>
    </xf>
    <xf numFmtId="17" fontId="0" fillId="3" borderId="0" xfId="0" applyNumberFormat="1" applyFill="1"/>
    <xf numFmtId="0" fontId="0" fillId="3" borderId="0" xfId="0" applyFill="1" applyAlignment="1">
      <alignment horizontal="center"/>
    </xf>
    <xf numFmtId="0" fontId="2" fillId="0" borderId="30" xfId="0" applyFont="1" applyBorder="1"/>
    <xf numFmtId="166" fontId="2" fillId="0" borderId="31" xfId="1" applyNumberFormat="1" applyFont="1" applyFill="1" applyBorder="1"/>
    <xf numFmtId="168" fontId="2" fillId="0" borderId="10" xfId="1" applyNumberFormat="1" applyFont="1" applyBorder="1"/>
    <xf numFmtId="169" fontId="6" fillId="0" borderId="33" xfId="1" applyNumberFormat="1" applyFont="1" applyBorder="1"/>
    <xf numFmtId="166" fontId="2" fillId="3" borderId="31" xfId="1" applyNumberFormat="1" applyFont="1" applyFill="1" applyBorder="1"/>
    <xf numFmtId="165" fontId="2" fillId="0" borderId="31" xfId="1" applyNumberFormat="1" applyFont="1" applyFill="1" applyBorder="1"/>
    <xf numFmtId="4" fontId="2" fillId="0" borderId="32" xfId="1" applyNumberFormat="1" applyFont="1" applyFill="1" applyBorder="1"/>
    <xf numFmtId="165" fontId="6" fillId="0" borderId="31" xfId="1" applyNumberFormat="1" applyFont="1" applyFill="1" applyBorder="1"/>
    <xf numFmtId="168" fontId="2" fillId="0" borderId="32" xfId="1" applyNumberFormat="1" applyFont="1" applyBorder="1"/>
    <xf numFmtId="166" fontId="2" fillId="0" borderId="34" xfId="1" applyNumberFormat="1" applyFont="1" applyFill="1" applyBorder="1"/>
    <xf numFmtId="170" fontId="2" fillId="0" borderId="32" xfId="1" applyNumberFormat="1" applyFont="1" applyFill="1" applyBorder="1"/>
    <xf numFmtId="165" fontId="6" fillId="0" borderId="31" xfId="1" applyNumberFormat="1" applyFont="1" applyBorder="1"/>
    <xf numFmtId="171" fontId="2" fillId="0" borderId="10" xfId="1" applyNumberFormat="1" applyFont="1" applyFill="1" applyBorder="1"/>
    <xf numFmtId="166" fontId="2" fillId="0" borderId="10" xfId="1" applyNumberFormat="1" applyFont="1" applyFill="1" applyBorder="1"/>
    <xf numFmtId="166" fontId="2" fillId="0" borderId="10" xfId="1" applyNumberFormat="1" applyFont="1" applyBorder="1"/>
    <xf numFmtId="172" fontId="6" fillId="0" borderId="10" xfId="1" applyNumberFormat="1" applyFont="1" applyBorder="1"/>
    <xf numFmtId="169" fontId="2" fillId="0" borderId="32" xfId="1" applyNumberFormat="1" applyFont="1" applyFill="1" applyBorder="1"/>
    <xf numFmtId="168" fontId="2" fillId="0" borderId="10" xfId="1" applyNumberFormat="1" applyFont="1" applyFill="1" applyBorder="1"/>
    <xf numFmtId="169" fontId="6" fillId="0" borderId="33" xfId="1" applyNumberFormat="1" applyFont="1" applyFill="1" applyBorder="1"/>
    <xf numFmtId="168" fontId="2" fillId="0" borderId="35" xfId="1" applyNumberFormat="1" applyFont="1" applyFill="1" applyBorder="1"/>
    <xf numFmtId="173" fontId="6" fillId="0" borderId="10" xfId="1" applyNumberFormat="1" applyFont="1" applyBorder="1"/>
    <xf numFmtId="169" fontId="2" fillId="0" borderId="32" xfId="1" applyNumberFormat="1" applyFont="1" applyBorder="1"/>
    <xf numFmtId="174" fontId="6" fillId="0" borderId="10" xfId="1" applyNumberFormat="1" applyFont="1" applyBorder="1"/>
    <xf numFmtId="169" fontId="6" fillId="0" borderId="36" xfId="1" applyNumberFormat="1" applyFont="1" applyBorder="1"/>
    <xf numFmtId="169" fontId="6" fillId="0" borderId="0" xfId="1" applyNumberFormat="1" applyFont="1" applyBorder="1"/>
    <xf numFmtId="175" fontId="2" fillId="0" borderId="0" xfId="0" applyNumberFormat="1" applyFont="1"/>
    <xf numFmtId="176" fontId="1" fillId="3" borderId="0" xfId="2" applyNumberFormat="1" applyFont="1" applyFill="1"/>
    <xf numFmtId="0" fontId="6" fillId="0" borderId="0" xfId="0" applyFont="1"/>
    <xf numFmtId="0" fontId="2" fillId="14" borderId="37" xfId="0" applyFont="1" applyFill="1" applyBorder="1"/>
    <xf numFmtId="166" fontId="2" fillId="14" borderId="31" xfId="1" applyNumberFormat="1" applyFont="1" applyFill="1" applyBorder="1"/>
    <xf numFmtId="165" fontId="6" fillId="14" borderId="31" xfId="1" applyNumberFormat="1" applyFont="1" applyFill="1" applyBorder="1"/>
    <xf numFmtId="168" fontId="2" fillId="14" borderId="32" xfId="1" applyNumberFormat="1" applyFont="1" applyFill="1" applyBorder="1"/>
    <xf numFmtId="168" fontId="2" fillId="14" borderId="10" xfId="1" applyNumberFormat="1" applyFont="1" applyFill="1" applyBorder="1"/>
    <xf numFmtId="169" fontId="6" fillId="14" borderId="33" xfId="1" applyNumberFormat="1" applyFont="1" applyFill="1" applyBorder="1"/>
    <xf numFmtId="165" fontId="2" fillId="14" borderId="31" xfId="1" applyNumberFormat="1" applyFont="1" applyFill="1" applyBorder="1"/>
    <xf numFmtId="4" fontId="2" fillId="14" borderId="32" xfId="1" applyNumberFormat="1" applyFont="1" applyFill="1" applyBorder="1"/>
    <xf numFmtId="166" fontId="2" fillId="14" borderId="35" xfId="1" applyNumberFormat="1" applyFont="1" applyFill="1" applyBorder="1"/>
    <xf numFmtId="170" fontId="2" fillId="14" borderId="32" xfId="1" applyNumberFormat="1" applyFont="1" applyFill="1" applyBorder="1"/>
    <xf numFmtId="166" fontId="2" fillId="14" borderId="10" xfId="1" applyNumberFormat="1" applyFont="1" applyFill="1" applyBorder="1"/>
    <xf numFmtId="172" fontId="6" fillId="14" borderId="10" xfId="1" applyNumberFormat="1" applyFont="1" applyFill="1" applyBorder="1"/>
    <xf numFmtId="169" fontId="2" fillId="14" borderId="32" xfId="1" applyNumberFormat="1" applyFont="1" applyFill="1" applyBorder="1"/>
    <xf numFmtId="169" fontId="2" fillId="14" borderId="10" xfId="1" applyNumberFormat="1" applyFont="1" applyFill="1" applyBorder="1"/>
    <xf numFmtId="168" fontId="2" fillId="14" borderId="35" xfId="1" applyNumberFormat="1" applyFont="1" applyFill="1" applyBorder="1"/>
    <xf numFmtId="173" fontId="6" fillId="14" borderId="10" xfId="1" applyNumberFormat="1" applyFont="1" applyFill="1" applyBorder="1"/>
    <xf numFmtId="174" fontId="6" fillId="14" borderId="10" xfId="1" applyNumberFormat="1" applyFont="1" applyFill="1" applyBorder="1"/>
    <xf numFmtId="169" fontId="6" fillId="15" borderId="0" xfId="1" applyNumberFormat="1" applyFont="1" applyFill="1" applyBorder="1"/>
    <xf numFmtId="0" fontId="2" fillId="0" borderId="37" xfId="0" applyFont="1" applyBorder="1"/>
    <xf numFmtId="168" fontId="2" fillId="0" borderId="32" xfId="1" applyNumberFormat="1" applyFont="1" applyFill="1" applyBorder="1"/>
    <xf numFmtId="166" fontId="2" fillId="0" borderId="35" xfId="1" applyNumberFormat="1" applyFont="1" applyFill="1" applyBorder="1"/>
    <xf numFmtId="169" fontId="6" fillId="0" borderId="0" xfId="1" applyNumberFormat="1" applyFont="1" applyFill="1" applyBorder="1"/>
    <xf numFmtId="173" fontId="6" fillId="0" borderId="10" xfId="1" applyNumberFormat="1" applyFont="1" applyFill="1" applyBorder="1"/>
    <xf numFmtId="172" fontId="6" fillId="0" borderId="10" xfId="1" applyNumberFormat="1" applyFont="1" applyFill="1" applyBorder="1"/>
    <xf numFmtId="0" fontId="2" fillId="0" borderId="37" xfId="0" applyFont="1" applyFill="1" applyBorder="1"/>
    <xf numFmtId="169" fontId="2" fillId="0" borderId="10" xfId="1" applyNumberFormat="1" applyFont="1" applyFill="1" applyBorder="1"/>
    <xf numFmtId="174" fontId="6" fillId="0" borderId="10" xfId="1" applyNumberFormat="1" applyFont="1" applyFill="1" applyBorder="1"/>
    <xf numFmtId="166" fontId="2" fillId="14" borderId="14" xfId="1" applyNumberFormat="1" applyFont="1" applyFill="1" applyBorder="1"/>
    <xf numFmtId="175" fontId="2" fillId="0" borderId="0" xfId="0" applyNumberFormat="1" applyFont="1" applyFill="1"/>
    <xf numFmtId="176" fontId="1" fillId="0" borderId="0" xfId="2" applyNumberFormat="1" applyFont="1" applyFill="1"/>
    <xf numFmtId="0" fontId="6" fillId="0" borderId="0" xfId="0" applyFont="1" applyFill="1"/>
    <xf numFmtId="166" fontId="2" fillId="0" borderId="31" xfId="1" applyNumberFormat="1" applyFont="1" applyBorder="1"/>
    <xf numFmtId="165" fontId="2" fillId="0" borderId="31" xfId="1" applyNumberFormat="1" applyFont="1" applyBorder="1"/>
    <xf numFmtId="166" fontId="2" fillId="0" borderId="35" xfId="1" applyNumberFormat="1" applyFont="1" applyBorder="1"/>
    <xf numFmtId="172" fontId="6" fillId="3" borderId="10" xfId="1" applyNumberFormat="1" applyFont="1" applyFill="1" applyBorder="1"/>
    <xf numFmtId="168" fontId="2" fillId="0" borderId="35" xfId="1" applyNumberFormat="1" applyFont="1" applyBorder="1"/>
    <xf numFmtId="169" fontId="6" fillId="3" borderId="0" xfId="1" applyNumberFormat="1" applyFont="1" applyFill="1" applyBorder="1"/>
    <xf numFmtId="166" fontId="2" fillId="0" borderId="38" xfId="1" applyNumberFormat="1" applyFont="1" applyBorder="1"/>
    <xf numFmtId="0" fontId="6" fillId="13" borderId="39" xfId="0" applyFont="1" applyFill="1" applyBorder="1" applyProtection="1"/>
    <xf numFmtId="168" fontId="6" fillId="13" borderId="40" xfId="1" applyNumberFormat="1" applyFont="1" applyFill="1" applyBorder="1" applyAlignment="1">
      <alignment horizontal="center"/>
    </xf>
    <xf numFmtId="168" fontId="6" fillId="13" borderId="41" xfId="1" applyNumberFormat="1" applyFont="1" applyFill="1" applyBorder="1" applyAlignment="1">
      <alignment horizontal="center"/>
    </xf>
    <xf numFmtId="168" fontId="6" fillId="13" borderId="42" xfId="1" applyNumberFormat="1" applyFont="1" applyFill="1" applyBorder="1" applyAlignment="1">
      <alignment horizontal="center"/>
    </xf>
    <xf numFmtId="169" fontId="6" fillId="13" borderId="43" xfId="1" applyNumberFormat="1" applyFont="1" applyFill="1" applyBorder="1" applyAlignment="1">
      <alignment horizontal="center"/>
    </xf>
    <xf numFmtId="168" fontId="6" fillId="13" borderId="44" xfId="1" applyNumberFormat="1" applyFont="1" applyFill="1" applyBorder="1" applyAlignment="1">
      <alignment horizontal="center"/>
    </xf>
    <xf numFmtId="168" fontId="6" fillId="13" borderId="43" xfId="1" applyNumberFormat="1" applyFont="1" applyFill="1" applyBorder="1" applyAlignment="1">
      <alignment horizontal="center"/>
    </xf>
    <xf numFmtId="168" fontId="6" fillId="13" borderId="45" xfId="1" applyNumberFormat="1" applyFont="1" applyFill="1" applyBorder="1" applyAlignment="1">
      <alignment horizontal="center"/>
    </xf>
    <xf numFmtId="168" fontId="6" fillId="13" borderId="0" xfId="1" applyNumberFormat="1" applyFont="1" applyFill="1" applyBorder="1" applyAlignment="1">
      <alignment horizontal="center"/>
    </xf>
    <xf numFmtId="0" fontId="0" fillId="16" borderId="0" xfId="0" applyFill="1"/>
    <xf numFmtId="0" fontId="11" fillId="16" borderId="0" xfId="0" applyFont="1" applyFill="1"/>
    <xf numFmtId="166" fontId="0" fillId="0" borderId="0" xfId="0" applyNumberFormat="1"/>
    <xf numFmtId="164" fontId="0" fillId="0" borderId="0" xfId="0" applyNumberFormat="1"/>
    <xf numFmtId="2" fontId="0" fillId="0" borderId="0" xfId="0" applyNumberFormat="1"/>
    <xf numFmtId="177" fontId="0" fillId="3" borderId="0" xfId="0" applyNumberFormat="1" applyFill="1"/>
    <xf numFmtId="166" fontId="0" fillId="0" borderId="0" xfId="0" applyNumberFormat="1" applyFill="1" applyBorder="1"/>
  </cellXfs>
  <cellStyles count="6">
    <cellStyle name="Обычный" xfId="0" builtinId="0"/>
    <cellStyle name="Процентный" xfId="2" builtinId="5"/>
    <cellStyle name="Процентный 2" xfId="3"/>
    <cellStyle name="Стиль 1" xfId="4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2"/>
  <sheetViews>
    <sheetView tabSelected="1" zoomScale="80" zoomScaleNormal="80" zoomScaleSheetLayoutView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Y8" sqref="Y8"/>
    </sheetView>
  </sheetViews>
  <sheetFormatPr defaultColWidth="9.109375" defaultRowHeight="13.2" x14ac:dyDescent="0.25"/>
  <cols>
    <col min="1" max="1" width="21.441406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3.664062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30" width="14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14.6640625" customWidth="1"/>
    <col min="45" max="45" width="27.33203125" customWidth="1"/>
    <col min="46" max="46" width="24.44140625" customWidth="1"/>
    <col min="47" max="47" width="27.33203125" customWidth="1"/>
    <col min="48" max="48" width="16.88671875" customWidth="1"/>
    <col min="49" max="49" width="21.109375" customWidth="1"/>
    <col min="50" max="50" width="14.6640625" customWidth="1"/>
    <col min="51" max="51" width="12.33203125" style="8" customWidth="1"/>
    <col min="52" max="52" width="12.88671875" style="8" hidden="1" customWidth="1"/>
    <col min="53" max="53" width="13" style="8" hidden="1" customWidth="1"/>
    <col min="54" max="55" width="11" style="8" hidden="1" customWidth="1"/>
    <col min="56" max="58" width="9.109375" style="8" hidden="1" customWidth="1"/>
    <col min="59" max="67" width="0" style="8" hidden="1" customWidth="1"/>
    <col min="68" max="16384" width="9.109375" style="8"/>
  </cols>
  <sheetData>
    <row r="1" spans="1:67" s="7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1"/>
      <c r="P1" s="1"/>
      <c r="Q1" s="1"/>
      <c r="R1" s="3"/>
      <c r="S1" s="1"/>
      <c r="T1" s="1"/>
      <c r="U1" s="1"/>
      <c r="V1" s="3" t="s">
        <v>1</v>
      </c>
      <c r="W1" s="1"/>
      <c r="X1" s="1"/>
      <c r="Y1" s="1"/>
      <c r="Z1" s="1"/>
      <c r="AA1" s="1"/>
      <c r="AB1" s="4"/>
      <c r="AC1" s="1"/>
      <c r="AD1" s="1"/>
      <c r="AE1" s="1"/>
      <c r="AF1" s="1"/>
      <c r="AG1" s="1"/>
      <c r="AH1" s="1"/>
      <c r="AI1" s="1"/>
      <c r="AJ1" s="1"/>
      <c r="AK1" s="1"/>
      <c r="AL1" s="5"/>
      <c r="AM1" s="5"/>
      <c r="AN1" s="6"/>
      <c r="AO1" s="6"/>
      <c r="AP1" s="6"/>
      <c r="AQ1" s="5"/>
      <c r="AR1" s="1"/>
      <c r="AS1" s="5"/>
      <c r="AT1" s="5"/>
      <c r="AU1" s="6"/>
      <c r="AV1" s="6"/>
      <c r="AW1" s="5"/>
      <c r="AX1" s="1"/>
    </row>
    <row r="2" spans="1:67" ht="12.75" hidden="1" customHeight="1" x14ac:dyDescent="0.25">
      <c r="B2" s="2"/>
      <c r="C2" s="2"/>
      <c r="D2" s="2"/>
      <c r="E2" s="2"/>
      <c r="F2" s="2"/>
      <c r="G2" s="2"/>
      <c r="H2" s="2"/>
    </row>
    <row r="3" spans="1:67" ht="13.8" customHeight="1" thickBot="1" x14ac:dyDescent="0.3">
      <c r="B3" s="9"/>
      <c r="C3" s="9"/>
      <c r="D3" s="9"/>
      <c r="E3" s="9"/>
      <c r="F3" s="9"/>
      <c r="G3" s="9"/>
      <c r="H3" s="9"/>
      <c r="I3" s="11"/>
      <c r="K3" s="10"/>
      <c r="L3" s="11"/>
      <c r="M3" s="11"/>
      <c r="T3" s="11"/>
      <c r="Y3" s="11"/>
      <c r="AE3" s="11"/>
      <c r="AM3" s="11"/>
      <c r="AN3" s="11"/>
      <c r="AO3" s="11"/>
    </row>
    <row r="4" spans="1:67" ht="13.8" thickTop="1" x14ac:dyDescent="0.25">
      <c r="A4" s="12" t="s">
        <v>2</v>
      </c>
      <c r="B4" s="13"/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7"/>
      <c r="P4" s="17"/>
      <c r="Q4" s="18"/>
      <c r="R4" s="16"/>
      <c r="S4" s="17"/>
      <c r="T4" s="17"/>
      <c r="U4" s="17"/>
      <c r="V4" s="17"/>
      <c r="W4" s="17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9"/>
      <c r="AM4" s="16"/>
      <c r="AN4" s="17"/>
      <c r="AO4" s="17"/>
      <c r="AP4" s="17"/>
      <c r="AQ4" s="17"/>
      <c r="AR4" s="19"/>
      <c r="AS4" s="16"/>
      <c r="AT4" s="17"/>
      <c r="AU4" s="17"/>
      <c r="AV4" s="17"/>
      <c r="AW4" s="17"/>
      <c r="AX4" s="19"/>
      <c r="AY4" s="20"/>
      <c r="AZ4" s="21"/>
      <c r="BA4" s="1"/>
    </row>
    <row r="5" spans="1:67" ht="13.8" thickBot="1" x14ac:dyDescent="0.3">
      <c r="A5" s="22"/>
      <c r="B5" s="23"/>
      <c r="C5" s="24"/>
      <c r="D5" s="24"/>
      <c r="E5" s="25" t="s">
        <v>3</v>
      </c>
      <c r="F5" s="26"/>
      <c r="G5" s="27"/>
      <c r="H5" s="28"/>
      <c r="I5" s="29"/>
      <c r="J5" s="24"/>
      <c r="K5" s="24"/>
      <c r="L5" s="30"/>
      <c r="M5" s="30"/>
      <c r="N5" s="25" t="s">
        <v>4</v>
      </c>
      <c r="O5" s="26"/>
      <c r="P5" s="27"/>
      <c r="Q5" s="28"/>
      <c r="R5" s="29"/>
      <c r="S5" s="24"/>
      <c r="T5" s="24"/>
      <c r="U5" s="25" t="s">
        <v>5</v>
      </c>
      <c r="V5" s="26"/>
      <c r="W5" s="27"/>
      <c r="X5" s="28"/>
      <c r="Y5" s="31"/>
      <c r="Z5" s="24"/>
      <c r="AA5" s="24"/>
      <c r="AB5" s="30"/>
      <c r="AC5" s="30"/>
      <c r="AD5" s="30"/>
      <c r="AE5" s="30"/>
      <c r="AF5" s="30"/>
      <c r="AG5" s="30"/>
      <c r="AH5" s="30"/>
      <c r="AI5" s="25" t="s">
        <v>6</v>
      </c>
      <c r="AJ5" s="26"/>
      <c r="AK5" s="27"/>
      <c r="AL5" s="32"/>
      <c r="AM5" s="29"/>
      <c r="AN5" s="24"/>
      <c r="AO5" s="25" t="s">
        <v>7</v>
      </c>
      <c r="AP5" s="26"/>
      <c r="AQ5" s="27"/>
      <c r="AR5" s="32"/>
      <c r="AS5" s="29"/>
      <c r="AT5" s="24"/>
      <c r="AU5" s="25" t="s">
        <v>8</v>
      </c>
      <c r="AV5" s="26"/>
      <c r="AW5" s="27"/>
      <c r="AX5" s="32"/>
      <c r="AY5" s="33"/>
      <c r="AZ5" s="21"/>
      <c r="BA5" s="1">
        <v>1000</v>
      </c>
    </row>
    <row r="6" spans="1:67" ht="159.75" customHeight="1" thickBot="1" x14ac:dyDescent="0.3">
      <c r="A6" s="22"/>
      <c r="B6" s="34" t="s">
        <v>9</v>
      </c>
      <c r="C6" s="34" t="s">
        <v>10</v>
      </c>
      <c r="D6" s="34" t="s">
        <v>11</v>
      </c>
      <c r="E6" s="34" t="s">
        <v>12</v>
      </c>
      <c r="F6" s="35" t="s">
        <v>13</v>
      </c>
      <c r="G6" s="35" t="s">
        <v>14</v>
      </c>
      <c r="H6" s="36" t="s">
        <v>15</v>
      </c>
      <c r="I6" s="34" t="s">
        <v>16</v>
      </c>
      <c r="J6" s="34" t="s">
        <v>17</v>
      </c>
      <c r="K6" s="34" t="s">
        <v>18</v>
      </c>
      <c r="L6" s="34" t="s">
        <v>19</v>
      </c>
      <c r="M6" s="34" t="s">
        <v>20</v>
      </c>
      <c r="N6" s="34" t="s">
        <v>21</v>
      </c>
      <c r="O6" s="35" t="s">
        <v>13</v>
      </c>
      <c r="P6" s="35" t="s">
        <v>14</v>
      </c>
      <c r="Q6" s="36" t="s">
        <v>15</v>
      </c>
      <c r="R6" s="34" t="s">
        <v>22</v>
      </c>
      <c r="S6" s="34" t="s">
        <v>23</v>
      </c>
      <c r="T6" s="34" t="s">
        <v>24</v>
      </c>
      <c r="U6" s="34" t="s">
        <v>25</v>
      </c>
      <c r="V6" s="35" t="s">
        <v>13</v>
      </c>
      <c r="W6" s="35" t="s">
        <v>14</v>
      </c>
      <c r="X6" s="36" t="s">
        <v>15</v>
      </c>
      <c r="Y6" s="34" t="s">
        <v>26</v>
      </c>
      <c r="Z6" s="34" t="s">
        <v>27</v>
      </c>
      <c r="AA6" s="34" t="s">
        <v>28</v>
      </c>
      <c r="AB6" s="34" t="s">
        <v>29</v>
      </c>
      <c r="AC6" s="34" t="s">
        <v>30</v>
      </c>
      <c r="AD6" s="34" t="s">
        <v>31</v>
      </c>
      <c r="AE6" s="34" t="s">
        <v>32</v>
      </c>
      <c r="AF6" s="37" t="s">
        <v>33</v>
      </c>
      <c r="AG6" s="37" t="s">
        <v>34</v>
      </c>
      <c r="AH6" s="37" t="s">
        <v>35</v>
      </c>
      <c r="AI6" s="34" t="s">
        <v>36</v>
      </c>
      <c r="AJ6" s="35" t="s">
        <v>13</v>
      </c>
      <c r="AK6" s="35" t="s">
        <v>14</v>
      </c>
      <c r="AL6" s="35" t="s">
        <v>15</v>
      </c>
      <c r="AM6" s="38" t="s">
        <v>37</v>
      </c>
      <c r="AN6" s="34" t="s">
        <v>38</v>
      </c>
      <c r="AO6" s="34" t="s">
        <v>39</v>
      </c>
      <c r="AP6" s="35" t="s">
        <v>13</v>
      </c>
      <c r="AQ6" s="35" t="s">
        <v>14</v>
      </c>
      <c r="AR6" s="35" t="s">
        <v>15</v>
      </c>
      <c r="AS6" s="39" t="s">
        <v>40</v>
      </c>
      <c r="AT6" s="40" t="s">
        <v>41</v>
      </c>
      <c r="AU6" s="40" t="s">
        <v>42</v>
      </c>
      <c r="AV6" s="35" t="s">
        <v>13</v>
      </c>
      <c r="AW6" s="35" t="s">
        <v>14</v>
      </c>
      <c r="AX6" s="35" t="s">
        <v>15</v>
      </c>
      <c r="AY6" s="41" t="s">
        <v>43</v>
      </c>
      <c r="AZ6" s="42"/>
      <c r="BA6" s="1" t="s">
        <v>44</v>
      </c>
    </row>
    <row r="7" spans="1:67" ht="54" thickTop="1" thickBot="1" x14ac:dyDescent="0.3">
      <c r="A7" s="43"/>
      <c r="B7" s="44" t="s">
        <v>45</v>
      </c>
      <c r="C7" s="44" t="s">
        <v>46</v>
      </c>
      <c r="D7" s="44" t="s">
        <v>47</v>
      </c>
      <c r="E7" s="44" t="s">
        <v>48</v>
      </c>
      <c r="F7" s="44" t="s">
        <v>49</v>
      </c>
      <c r="G7" s="44" t="s">
        <v>49</v>
      </c>
      <c r="H7" s="45">
        <v>1</v>
      </c>
      <c r="I7" s="44" t="s">
        <v>45</v>
      </c>
      <c r="J7" s="44" t="s">
        <v>46</v>
      </c>
      <c r="K7" s="44" t="s">
        <v>47</v>
      </c>
      <c r="L7" s="44" t="s">
        <v>50</v>
      </c>
      <c r="M7" s="44"/>
      <c r="N7" s="44" t="s">
        <v>51</v>
      </c>
      <c r="O7" s="46" t="s">
        <v>49</v>
      </c>
      <c r="P7" s="47" t="s">
        <v>52</v>
      </c>
      <c r="Q7" s="45">
        <v>1</v>
      </c>
      <c r="R7" s="44" t="s">
        <v>45</v>
      </c>
      <c r="S7" s="44" t="s">
        <v>46</v>
      </c>
      <c r="T7" s="44" t="s">
        <v>47</v>
      </c>
      <c r="U7" s="44" t="s">
        <v>53</v>
      </c>
      <c r="V7" s="44" t="s">
        <v>54</v>
      </c>
      <c r="W7" s="44" t="s">
        <v>54</v>
      </c>
      <c r="X7" s="45">
        <v>1</v>
      </c>
      <c r="Y7" s="44" t="s">
        <v>45</v>
      </c>
      <c r="Z7" s="44" t="s">
        <v>46</v>
      </c>
      <c r="AA7" s="44" t="s">
        <v>47</v>
      </c>
      <c r="AB7" s="44" t="s">
        <v>55</v>
      </c>
      <c r="AC7" s="44" t="s">
        <v>50</v>
      </c>
      <c r="AD7" s="44" t="s">
        <v>56</v>
      </c>
      <c r="AE7" s="44" t="s">
        <v>57</v>
      </c>
      <c r="AF7" s="48"/>
      <c r="AG7" s="48"/>
      <c r="AH7" s="48"/>
      <c r="AI7" s="44" t="s">
        <v>58</v>
      </c>
      <c r="AJ7" s="44" t="s">
        <v>59</v>
      </c>
      <c r="AK7" s="44" t="s">
        <v>60</v>
      </c>
      <c r="AL7" s="44">
        <v>1.5</v>
      </c>
      <c r="AM7" s="44" t="s">
        <v>45</v>
      </c>
      <c r="AN7" s="44" t="s">
        <v>46</v>
      </c>
      <c r="AO7" s="44" t="s">
        <v>61</v>
      </c>
      <c r="AP7" s="44" t="s">
        <v>49</v>
      </c>
      <c r="AQ7" s="44" t="s">
        <v>49</v>
      </c>
      <c r="AR7" s="44">
        <v>1</v>
      </c>
      <c r="AS7" s="44" t="s">
        <v>45</v>
      </c>
      <c r="AT7" s="44" t="s">
        <v>46</v>
      </c>
      <c r="AU7" s="44" t="s">
        <v>61</v>
      </c>
      <c r="AV7" s="44" t="s">
        <v>49</v>
      </c>
      <c r="AW7" s="44" t="s">
        <v>49</v>
      </c>
      <c r="AX7" s="44">
        <v>1</v>
      </c>
      <c r="AY7" s="49"/>
      <c r="AZ7" s="50"/>
      <c r="BA7" s="1"/>
    </row>
    <row r="8" spans="1:67" ht="15" thickTop="1" thickBot="1" x14ac:dyDescent="0.3">
      <c r="A8" s="51"/>
      <c r="B8" s="52"/>
      <c r="C8" s="52"/>
      <c r="D8" s="52"/>
      <c r="E8" s="52"/>
      <c r="F8" s="52"/>
      <c r="G8" s="52"/>
      <c r="H8" s="53"/>
      <c r="I8" s="55"/>
      <c r="J8" s="52"/>
      <c r="K8" s="52"/>
      <c r="L8" s="54"/>
      <c r="M8" s="54"/>
      <c r="N8" s="52"/>
      <c r="O8" s="52"/>
      <c r="P8" s="52"/>
      <c r="Q8" s="53"/>
      <c r="R8" s="55"/>
      <c r="S8" s="52"/>
      <c r="T8" s="52"/>
      <c r="U8" s="52"/>
      <c r="V8" s="52"/>
      <c r="W8" s="52"/>
      <c r="X8" s="53"/>
      <c r="Y8" s="149"/>
      <c r="Z8" s="52"/>
      <c r="AA8" s="52"/>
      <c r="AB8" s="54"/>
      <c r="AC8" s="56"/>
      <c r="AD8" s="52"/>
      <c r="AE8" s="52"/>
      <c r="AF8" s="52"/>
      <c r="AG8" s="52"/>
      <c r="AH8" s="52"/>
      <c r="AI8" s="52"/>
      <c r="AJ8" s="52"/>
      <c r="AK8" s="52"/>
      <c r="AL8" s="52"/>
      <c r="AM8" s="57"/>
      <c r="AN8" s="52"/>
      <c r="AO8" s="52"/>
      <c r="AP8" s="52"/>
      <c r="AQ8" s="52"/>
      <c r="AR8" s="52"/>
      <c r="AS8" s="57"/>
      <c r="AT8" s="52"/>
      <c r="AU8" s="52"/>
      <c r="AV8" s="52"/>
      <c r="AW8" s="52"/>
      <c r="AX8" s="52"/>
    </row>
    <row r="9" spans="1:67" ht="14.4" thickTop="1" thickBot="1" x14ac:dyDescent="0.3">
      <c r="A9" s="58"/>
      <c r="B9" s="59"/>
      <c r="C9" s="59"/>
      <c r="D9" s="59"/>
      <c r="E9" s="59"/>
      <c r="F9" s="59"/>
      <c r="G9" s="59"/>
      <c r="H9" s="60"/>
      <c r="I9" s="61"/>
      <c r="J9" s="59"/>
      <c r="K9" s="59"/>
      <c r="L9" s="59"/>
      <c r="M9" s="59"/>
      <c r="N9" s="59"/>
      <c r="O9" s="59"/>
      <c r="P9" s="59"/>
      <c r="Q9" s="60"/>
      <c r="R9" s="61"/>
      <c r="S9" s="59"/>
      <c r="T9" s="59"/>
      <c r="U9" s="59"/>
      <c r="V9" s="59"/>
      <c r="W9" s="59"/>
      <c r="X9" s="60"/>
      <c r="Y9" s="62"/>
      <c r="Z9" s="59"/>
      <c r="AA9" s="59"/>
      <c r="AB9" s="59"/>
      <c r="AC9" s="59"/>
      <c r="AD9" s="59"/>
      <c r="AE9" s="59"/>
      <c r="AF9" s="59"/>
      <c r="AG9" s="59"/>
      <c r="AH9" s="59"/>
      <c r="AI9" s="63" t="s">
        <v>62</v>
      </c>
      <c r="AJ9" s="59"/>
      <c r="AK9" s="59"/>
      <c r="AL9" s="59"/>
      <c r="AM9" s="61"/>
      <c r="AN9" s="59"/>
      <c r="AO9" s="59"/>
      <c r="AP9" s="59"/>
      <c r="AQ9" s="59"/>
      <c r="AR9" s="59"/>
      <c r="AS9" s="61"/>
      <c r="AT9" s="59"/>
      <c r="AU9" s="59"/>
      <c r="AV9" s="59"/>
      <c r="AW9" s="59"/>
      <c r="AX9" s="59"/>
      <c r="AY9" s="64"/>
      <c r="AZ9" s="65"/>
      <c r="BA9" s="1"/>
      <c r="BD9" s="8" t="s">
        <v>63</v>
      </c>
      <c r="BE9" s="66" t="s">
        <v>64</v>
      </c>
      <c r="BF9" s="8" t="s">
        <v>65</v>
      </c>
      <c r="BG9" s="8" t="s">
        <v>66</v>
      </c>
      <c r="BH9" s="8" t="s">
        <v>67</v>
      </c>
      <c r="BJ9" s="67" t="s">
        <v>68</v>
      </c>
      <c r="BK9" s="8" t="s">
        <v>69</v>
      </c>
      <c r="BL9" s="66" t="s">
        <v>70</v>
      </c>
      <c r="BM9" s="8" t="s">
        <v>71</v>
      </c>
      <c r="BN9" s="8" t="s">
        <v>72</v>
      </c>
      <c r="BO9" s="8" t="s">
        <v>67</v>
      </c>
    </row>
    <row r="10" spans="1:67" ht="13.8" thickTop="1" x14ac:dyDescent="0.25">
      <c r="A10" s="68" t="s">
        <v>73</v>
      </c>
      <c r="B10" s="69">
        <v>2529044.5372200003</v>
      </c>
      <c r="C10" s="69">
        <v>36530.426390000001</v>
      </c>
      <c r="D10" s="69">
        <v>2433509.5372200003</v>
      </c>
      <c r="E10" s="79">
        <f>IF(AND(B10=0,D10=0),0,B10/(IF(C10&gt;0,C10,0)+D10))</f>
        <v>1.0238881048401192</v>
      </c>
      <c r="F10" s="115">
        <f>IF(E10&lt;1,1,0)</f>
        <v>0</v>
      </c>
      <c r="G10" s="70"/>
      <c r="H10" s="71">
        <f t="shared" ref="H10:H40" si="0">F10+G10</f>
        <v>0</v>
      </c>
      <c r="I10" s="72">
        <v>2308275.6</v>
      </c>
      <c r="J10" s="73">
        <v>11448222.742690001</v>
      </c>
      <c r="K10" s="74">
        <v>8328435.7817000002</v>
      </c>
      <c r="L10" s="72">
        <v>145700</v>
      </c>
      <c r="M10" s="72">
        <v>0</v>
      </c>
      <c r="N10" s="75">
        <f>(I10-M10)/(J10-K10-L10)</f>
        <v>0.77612915502364188</v>
      </c>
      <c r="O10" s="76">
        <f t="shared" ref="O10:O16" si="1">IF(N10&lt;=1,1,0)</f>
        <v>1</v>
      </c>
      <c r="P10" s="70"/>
      <c r="Q10" s="71">
        <f t="shared" ref="Q10:Q40" si="2">O10+P10</f>
        <v>1</v>
      </c>
      <c r="R10" s="77">
        <v>165819.28127000001</v>
      </c>
      <c r="S10" s="69">
        <v>11484753.16908</v>
      </c>
      <c r="T10" s="78">
        <v>2941982.3145599999</v>
      </c>
      <c r="U10" s="79">
        <f t="shared" ref="U10:U40" si="3">R10/(S10-T10)</f>
        <v>1.9410479818999783E-2</v>
      </c>
      <c r="V10" s="76">
        <f t="shared" ref="V10:V16" si="4">IF(U10&lt;=0.15,1,0)</f>
        <v>1</v>
      </c>
      <c r="W10" s="70"/>
      <c r="X10" s="71">
        <f>V10+W10</f>
        <v>1</v>
      </c>
      <c r="Y10" s="69">
        <f>C10</f>
        <v>36530.426390000001</v>
      </c>
      <c r="Z10" s="80"/>
      <c r="AA10" s="81">
        <v>-59004.573609999999</v>
      </c>
      <c r="AB10" s="82"/>
      <c r="AC10" s="82">
        <f t="shared" ref="AC10:AE42" si="5">J10</f>
        <v>11448222.742690001</v>
      </c>
      <c r="AD10" s="82">
        <f t="shared" si="5"/>
        <v>8328435.7817000002</v>
      </c>
      <c r="AE10" s="82">
        <f t="shared" si="5"/>
        <v>145700</v>
      </c>
      <c r="AF10" s="82">
        <f>AC10-AD10-AE10</f>
        <v>2974086.9609900005</v>
      </c>
      <c r="AG10" s="82">
        <f t="shared" ref="AG10:AG17" si="6">AF10*10%</f>
        <v>297408.69609900005</v>
      </c>
      <c r="AH10" s="82">
        <f t="shared" ref="AH10:AH15" si="7">IF(AA10&gt;0,AA10,0)+AG10+IF(AB10&gt;0,AB10,0)</f>
        <v>297408.69609900005</v>
      </c>
      <c r="AI10" s="83">
        <f t="shared" ref="AI10:AI40" si="8">IF((Y10-IF(Z10&gt;0,Z10,0)-IF(AA10&gt;0,AA10,0)-IF(AB10&gt;0,AB10,0))/(AC10-AD10-AE10)&gt;0,(Y10-IF(Z10&gt;0,Z10,0)-IF(AA10&gt;0,AA10,0)-IF(AB10&gt;0,AB10,0))/(AC10-AD10-AE10),0)</f>
        <v>1.2282904591949093E-2</v>
      </c>
      <c r="AJ10" s="84">
        <f>IF(AI10&lt;=0.1,1.5,0)</f>
        <v>1.5</v>
      </c>
      <c r="AK10" s="85"/>
      <c r="AL10" s="86">
        <f t="shared" ref="AL10:AL40" si="9">AJ10+AK10</f>
        <v>1.5</v>
      </c>
      <c r="AM10" s="87">
        <v>265036.87264000002</v>
      </c>
      <c r="AN10" s="85">
        <v>285379.04599999997</v>
      </c>
      <c r="AO10" s="88">
        <f t="shared" ref="AO10:AO40" si="10">AM10/AN10</f>
        <v>0.92871875617665367</v>
      </c>
      <c r="AP10" s="89">
        <f>IF(AO10&lt;=1,1,0)</f>
        <v>1</v>
      </c>
      <c r="AQ10" s="70"/>
      <c r="AR10" s="90">
        <f>AP10+AQ10</f>
        <v>1</v>
      </c>
      <c r="AS10" s="87">
        <v>479449.85632000002</v>
      </c>
      <c r="AT10" s="85">
        <v>515694.61599999998</v>
      </c>
      <c r="AU10" s="83">
        <f>AS10/AT10</f>
        <v>0.92971662190089654</v>
      </c>
      <c r="AV10" s="89">
        <f>IF(AU10&lt;=1,1,0)</f>
        <v>1</v>
      </c>
      <c r="AW10" s="70"/>
      <c r="AX10" s="90">
        <f t="shared" ref="AX10:AX40" si="11">AV10+AW10</f>
        <v>1</v>
      </c>
      <c r="AY10" s="91">
        <f>H10+Q10+X10+AL10+AR10+AX10</f>
        <v>5.5</v>
      </c>
      <c r="AZ10" s="92"/>
      <c r="BA10" s="93">
        <v>972924.2</v>
      </c>
      <c r="BC10" s="94">
        <f t="shared" ref="BC10:BC42" si="12">(AD10+AE10-T10)/(AC10-T10)</f>
        <v>0.65036410784313803</v>
      </c>
      <c r="BD10" s="8">
        <f>IF(($BC10&lt;=10%),1,0)</f>
        <v>0</v>
      </c>
      <c r="BE10" s="95">
        <f>IF(AND(BC10&gt;10%,BC10&lt;30%),1,0)</f>
        <v>0</v>
      </c>
      <c r="BF10" s="95">
        <f>IF(AND(BC10&gt;30%,BC10&lt;70%),1,0)</f>
        <v>1</v>
      </c>
      <c r="BG10" s="95">
        <f>IF(AND(BC10&gt;70%,BC10&lt;90%),1,0)</f>
        <v>0</v>
      </c>
      <c r="BH10" s="8">
        <f>IF(($BC10&gt;=90%),1,0)</f>
        <v>0</v>
      </c>
      <c r="BJ10" s="94">
        <f t="shared" ref="BJ10:BJ42" si="13">(BA10+L10)/(J10-T10)</f>
        <v>0.13150629934003835</v>
      </c>
      <c r="BK10" s="8">
        <f>IF(($BJ10&lt;=4.9%),1,0)</f>
        <v>0</v>
      </c>
      <c r="BL10" s="95">
        <f>IF(AND(BJ10&gt;5%,BJ10&lt;19.9%),1,0)</f>
        <v>1</v>
      </c>
      <c r="BM10" s="95">
        <f>IF(AND(BJ10&gt;20%,BJ10&lt;49.9%),1,0)</f>
        <v>0</v>
      </c>
      <c r="BN10" s="95">
        <f>IF(AND(BJ10&gt;50%,BJ10&lt;89.9%),1,0)</f>
        <v>0</v>
      </c>
      <c r="BO10" s="8">
        <f>IF((BJ10&gt;=90%),1,0)</f>
        <v>0</v>
      </c>
    </row>
    <row r="11" spans="1:67" x14ac:dyDescent="0.25">
      <c r="A11" s="96" t="s">
        <v>74</v>
      </c>
      <c r="B11" s="97">
        <v>25000</v>
      </c>
      <c r="C11" s="97">
        <v>1421.84148</v>
      </c>
      <c r="D11" s="97">
        <v>26000</v>
      </c>
      <c r="E11" s="98">
        <f>IF(AND(B11=0,D11=0),0,B11/(IF(C11&gt;0,C11,0)+D11))</f>
        <v>0.91168202610439719</v>
      </c>
      <c r="F11" s="99"/>
      <c r="G11" s="100">
        <f>IF(E11&lt;1,1,0)</f>
        <v>1</v>
      </c>
      <c r="H11" s="101">
        <f>F11+G11</f>
        <v>1</v>
      </c>
      <c r="I11" s="97">
        <v>25000</v>
      </c>
      <c r="J11" s="102">
        <v>826517.68197000003</v>
      </c>
      <c r="K11" s="103">
        <v>580340.01497999998</v>
      </c>
      <c r="L11" s="97">
        <v>182180</v>
      </c>
      <c r="M11" s="97">
        <v>0</v>
      </c>
      <c r="N11" s="98">
        <f>(I11-M11)/(J11-K11-L11)</f>
        <v>0.39063924008208567</v>
      </c>
      <c r="O11" s="99"/>
      <c r="P11" s="100">
        <f>IF(N11&lt;=0.5,1,0)</f>
        <v>1</v>
      </c>
      <c r="Q11" s="101">
        <f>O11+P11</f>
        <v>1</v>
      </c>
      <c r="R11" s="104">
        <v>2490.4432400000001</v>
      </c>
      <c r="S11" s="97">
        <v>827939.5234500001</v>
      </c>
      <c r="T11" s="105">
        <v>398246.53450999997</v>
      </c>
      <c r="U11" s="98">
        <f>R11/(S11-T11)</f>
        <v>5.7958665933638288E-3</v>
      </c>
      <c r="V11" s="99"/>
      <c r="W11" s="100">
        <f>IF(U11&lt;=0.15,1,0)</f>
        <v>1</v>
      </c>
      <c r="X11" s="101">
        <f>V11+W11</f>
        <v>1</v>
      </c>
      <c r="Y11" s="97">
        <f>C11</f>
        <v>1421.84148</v>
      </c>
      <c r="Z11" s="106"/>
      <c r="AA11" s="106">
        <v>2421.84148</v>
      </c>
      <c r="AB11" s="106"/>
      <c r="AC11" s="106">
        <f>J11</f>
        <v>826517.68197000003</v>
      </c>
      <c r="AD11" s="106">
        <f>K11</f>
        <v>580340.01497999998</v>
      </c>
      <c r="AE11" s="106">
        <f>L11</f>
        <v>182180</v>
      </c>
      <c r="AF11" s="106">
        <f>AC11-AD11-AE11</f>
        <v>63997.666990000056</v>
      </c>
      <c r="AG11" s="106">
        <f>AF11*10%</f>
        <v>6399.7666990000062</v>
      </c>
      <c r="AH11" s="106">
        <f>IF(AA11&gt;0,AA11,0)+AG11+IF(AB11&gt;0,AB11,0)</f>
        <v>8821.6081790000062</v>
      </c>
      <c r="AI11" s="107">
        <f>IF((Y11-IF(Z11&gt;0,Z11,0)-IF(AA11&gt;0,AA11,0)-IF(AB11&gt;0,AB11,0))/(AC11-AD11-AE11)&gt;0,(Y11-IF(Z11&gt;0,Z11,0)-IF(AA11&gt;0,AA11,0)-IF(AB11&gt;0,AB11,0))/(AC11-AD11-AE11),0)</f>
        <v>0</v>
      </c>
      <c r="AJ11" s="108"/>
      <c r="AK11" s="109">
        <f>IF(AI11&lt;=0.05,1.5,0)</f>
        <v>1.5</v>
      </c>
      <c r="AL11" s="101">
        <f>AJ11+AK11</f>
        <v>1.5</v>
      </c>
      <c r="AM11" s="110">
        <v>32839.304340000002</v>
      </c>
      <c r="AN11" s="100">
        <v>33145.974999999999</v>
      </c>
      <c r="AO11" s="111">
        <f>AM11/AN11</f>
        <v>0.9907478763258587</v>
      </c>
      <c r="AP11" s="108"/>
      <c r="AQ11" s="109">
        <f>IF(AO11&lt;=1,1,0)</f>
        <v>1</v>
      </c>
      <c r="AR11" s="112">
        <f>AP11+AQ11</f>
        <v>1</v>
      </c>
      <c r="AS11" s="110">
        <v>69041.989490000007</v>
      </c>
      <c r="AT11" s="100">
        <v>82494.293999999994</v>
      </c>
      <c r="AU11" s="107">
        <f>AS11/AT11</f>
        <v>0.83693048503451661</v>
      </c>
      <c r="AV11" s="108"/>
      <c r="AW11" s="109">
        <f>IF(AU11&lt;=1,1,0)</f>
        <v>1</v>
      </c>
      <c r="AX11" s="112">
        <f>AV11+AW11</f>
        <v>1</v>
      </c>
      <c r="AY11" s="91">
        <f t="shared" ref="AY11:AY42" si="14">H11+Q11+X11+AL11+AR11+AX11</f>
        <v>6.5</v>
      </c>
      <c r="AZ11" s="113"/>
      <c r="BA11" s="93">
        <v>131348.20000000001</v>
      </c>
      <c r="BC11" s="94">
        <f t="shared" si="12"/>
        <v>0.85056740952651411</v>
      </c>
      <c r="BD11" s="8">
        <f>IF(($BC11&lt;=10%),1,0)</f>
        <v>0</v>
      </c>
      <c r="BE11" s="95">
        <f>IF(AND(BC11&gt;10%,BC11&lt;30%),1,0)</f>
        <v>0</v>
      </c>
      <c r="BF11" s="95">
        <f>IF(AND(BC11&gt;30%,BC11&lt;70%),1,0)</f>
        <v>0</v>
      </c>
      <c r="BG11" s="95">
        <f>IF(AND(BC11&gt;70%,BC11&lt;90%),1,0)</f>
        <v>1</v>
      </c>
      <c r="BH11" s="8">
        <f>IF(($BC11&gt;=90%),1,0)</f>
        <v>0</v>
      </c>
      <c r="BJ11" s="94">
        <f t="shared" si="13"/>
        <v>0.73207873530467782</v>
      </c>
      <c r="BK11" s="8">
        <f>IF(($BJ11&lt;=4.9%),1,0)</f>
        <v>0</v>
      </c>
      <c r="BL11" s="95">
        <f>IF(AND(BJ11&gt;5%,BJ11&lt;19.9%),1,0)</f>
        <v>0</v>
      </c>
      <c r="BM11" s="95">
        <f>IF(AND(BJ11&gt;20%,BJ11&lt;49.9%),1,0)</f>
        <v>0</v>
      </c>
      <c r="BN11" s="95">
        <f>IF(AND(BJ11&gt;50%,BJ11&lt;89.9%),1,0)</f>
        <v>1</v>
      </c>
      <c r="BO11" s="8">
        <f>IF((BJ11&gt;=90%),1,0)</f>
        <v>0</v>
      </c>
    </row>
    <row r="12" spans="1:67" x14ac:dyDescent="0.25">
      <c r="A12" s="114" t="s">
        <v>75</v>
      </c>
      <c r="B12" s="69">
        <v>120000</v>
      </c>
      <c r="C12" s="69">
        <v>-3117.7831800000004</v>
      </c>
      <c r="D12" s="69">
        <v>130000</v>
      </c>
      <c r="E12" s="79">
        <f t="shared" ref="E12:E40" si="15">IF(AND(B12=0,D12=0),0,B12/(IF(C12&gt;0,C12,0)+D12))</f>
        <v>0.92307692307692313</v>
      </c>
      <c r="F12" s="115">
        <f t="shared" ref="F12:F14" si="16">IF(E12&lt;1,1,0)</f>
        <v>1</v>
      </c>
      <c r="G12" s="70"/>
      <c r="H12" s="71">
        <f t="shared" si="0"/>
        <v>1</v>
      </c>
      <c r="I12" s="72">
        <v>60000</v>
      </c>
      <c r="J12" s="73">
        <v>1189343.2156700001</v>
      </c>
      <c r="K12" s="74">
        <v>721658.90370000002</v>
      </c>
      <c r="L12" s="72">
        <v>196416</v>
      </c>
      <c r="M12" s="72">
        <v>0</v>
      </c>
      <c r="N12" s="79">
        <f t="shared" ref="N12:N40" si="17">(I12-M12)/(J12-K12-L12)</f>
        <v>0.22118322469834031</v>
      </c>
      <c r="O12" s="76">
        <f t="shared" si="1"/>
        <v>1</v>
      </c>
      <c r="P12" s="70"/>
      <c r="Q12" s="71">
        <f t="shared" si="2"/>
        <v>1</v>
      </c>
      <c r="R12" s="116">
        <v>5315.4222499999996</v>
      </c>
      <c r="S12" s="69">
        <v>1186225.43249</v>
      </c>
      <c r="T12" s="78">
        <v>473750.64110000001</v>
      </c>
      <c r="U12" s="79">
        <f t="shared" si="3"/>
        <v>7.4605057108475328E-3</v>
      </c>
      <c r="V12" s="76">
        <f t="shared" si="4"/>
        <v>1</v>
      </c>
      <c r="W12" s="70"/>
      <c r="X12" s="71">
        <f t="shared" ref="X12:X40" si="18">V12+W12</f>
        <v>1</v>
      </c>
      <c r="Y12" s="69">
        <f t="shared" ref="Y12:Y40" si="19">C12</f>
        <v>-3117.7831800000004</v>
      </c>
      <c r="Z12" s="81"/>
      <c r="AA12" s="81">
        <v>6882.2168200000006</v>
      </c>
      <c r="AB12" s="82"/>
      <c r="AC12" s="82">
        <f t="shared" si="5"/>
        <v>1189343.2156700001</v>
      </c>
      <c r="AD12" s="82">
        <f t="shared" si="5"/>
        <v>721658.90370000002</v>
      </c>
      <c r="AE12" s="82">
        <f t="shared" si="5"/>
        <v>196416</v>
      </c>
      <c r="AF12" s="82">
        <f t="shared" ref="AF12:AF40" si="20">AC12-AD12-AE12</f>
        <v>271268.31197000004</v>
      </c>
      <c r="AG12" s="82">
        <f t="shared" si="6"/>
        <v>27126.831197000007</v>
      </c>
      <c r="AH12" s="82">
        <f t="shared" si="7"/>
        <v>34009.048017000008</v>
      </c>
      <c r="AI12" s="83">
        <f t="shared" si="8"/>
        <v>0</v>
      </c>
      <c r="AJ12" s="84">
        <f t="shared" ref="AJ12:AJ17" si="21">IF(AI12&lt;=0.1,1.5,0)</f>
        <v>1.5</v>
      </c>
      <c r="AK12" s="70"/>
      <c r="AL12" s="71">
        <f t="shared" si="9"/>
        <v>1.5</v>
      </c>
      <c r="AM12" s="87">
        <v>32485.266769999998</v>
      </c>
      <c r="AN12" s="85">
        <v>36803.752</v>
      </c>
      <c r="AO12" s="88">
        <f t="shared" si="10"/>
        <v>0.88266182127300497</v>
      </c>
      <c r="AP12" s="89">
        <f t="shared" ref="AP12:AP17" si="22">IF(AO12&lt;=1,1,0)</f>
        <v>1</v>
      </c>
      <c r="AQ12" s="70"/>
      <c r="AR12" s="90">
        <f t="shared" ref="AR12:AR38" si="23">AP12+AQ12</f>
        <v>1</v>
      </c>
      <c r="AS12" s="87">
        <v>61300.242290000002</v>
      </c>
      <c r="AT12" s="85">
        <v>82775.695000000007</v>
      </c>
      <c r="AU12" s="83">
        <f t="shared" ref="AU12:AU40" si="24">AS12/AT12</f>
        <v>0.74055847299137745</v>
      </c>
      <c r="AV12" s="89">
        <f t="shared" ref="AV12:AV17" si="25">IF(AU12&lt;=1,1,0)</f>
        <v>1</v>
      </c>
      <c r="AW12" s="70"/>
      <c r="AX12" s="90">
        <f t="shared" si="11"/>
        <v>1</v>
      </c>
      <c r="AY12" s="91">
        <f t="shared" si="14"/>
        <v>6.5</v>
      </c>
      <c r="AZ12" s="117"/>
      <c r="BA12" s="93">
        <v>54037.2</v>
      </c>
      <c r="BC12" s="94">
        <f t="shared" si="12"/>
        <v>0.62091793345814783</v>
      </c>
      <c r="BD12" s="8">
        <f t="shared" ref="BD12:BD42" si="26">IF(($BC12&lt;=10%),1,0)</f>
        <v>0</v>
      </c>
      <c r="BE12" s="95">
        <f t="shared" ref="BE12:BE40" si="27">IF(AND(BC12&gt;10%,BC12&lt;30%),1,0)</f>
        <v>0</v>
      </c>
      <c r="BF12" s="95">
        <f t="shared" ref="BF12:BF40" si="28">IF(AND(BC12&gt;30%,BC12&lt;70%),1,0)</f>
        <v>1</v>
      </c>
      <c r="BG12" s="95">
        <f t="shared" ref="BG12:BG40" si="29">IF(AND(BC12&gt;70%,BC12&lt;90%),1,0)</f>
        <v>0</v>
      </c>
      <c r="BH12" s="8">
        <f t="shared" ref="BH12:BH42" si="30">IF(($BC12&gt;=90%),1,0)</f>
        <v>0</v>
      </c>
      <c r="BJ12" s="94">
        <f t="shared" si="13"/>
        <v>0.34999412920193795</v>
      </c>
      <c r="BK12" s="8">
        <f t="shared" ref="BK12:BK42" si="31">IF(($BJ12&lt;=4.9%),1,0)</f>
        <v>0</v>
      </c>
      <c r="BL12" s="95">
        <f t="shared" ref="BL12:BL40" si="32">IF(AND(BJ12&gt;5%,BJ12&lt;19.9%),1,0)</f>
        <v>0</v>
      </c>
      <c r="BM12" s="95">
        <f t="shared" ref="BM12:BM40" si="33">IF(AND(BJ12&gt;20%,BJ12&lt;49.9%),1,0)</f>
        <v>1</v>
      </c>
      <c r="BN12" s="95">
        <f t="shared" ref="BN12:BN40" si="34">IF(AND(BJ12&gt;50%,BJ12&lt;89.9%),1,0)</f>
        <v>0</v>
      </c>
      <c r="BO12" s="8">
        <f t="shared" ref="BO12:BO40" si="35">IF((BJ12&gt;=90%),1,0)</f>
        <v>0</v>
      </c>
    </row>
    <row r="13" spans="1:67" x14ac:dyDescent="0.25">
      <c r="A13" s="114" t="s">
        <v>76</v>
      </c>
      <c r="B13" s="69">
        <v>32000</v>
      </c>
      <c r="C13" s="69">
        <v>9623.2123200000005</v>
      </c>
      <c r="D13" s="69">
        <v>32000</v>
      </c>
      <c r="E13" s="79">
        <f t="shared" si="15"/>
        <v>0.76880178670457799</v>
      </c>
      <c r="F13" s="115">
        <f t="shared" si="16"/>
        <v>1</v>
      </c>
      <c r="G13" s="70"/>
      <c r="H13" s="71">
        <f t="shared" si="0"/>
        <v>1</v>
      </c>
      <c r="I13" s="72">
        <v>32000</v>
      </c>
      <c r="J13" s="73">
        <v>896811.84909999999</v>
      </c>
      <c r="K13" s="74">
        <v>641137.90382000001</v>
      </c>
      <c r="L13" s="72">
        <v>85039</v>
      </c>
      <c r="M13" s="72">
        <v>0</v>
      </c>
      <c r="N13" s="79">
        <f t="shared" si="17"/>
        <v>0.18753485663496561</v>
      </c>
      <c r="O13" s="76">
        <f t="shared" si="1"/>
        <v>1</v>
      </c>
      <c r="P13" s="70"/>
      <c r="Q13" s="71">
        <f t="shared" si="2"/>
        <v>1</v>
      </c>
      <c r="R13" s="116">
        <v>2794.8075199999998</v>
      </c>
      <c r="S13" s="69">
        <v>906435.06141999993</v>
      </c>
      <c r="T13" s="78">
        <v>298556.93866000004</v>
      </c>
      <c r="U13" s="79">
        <f t="shared" si="3"/>
        <v>4.5976445201062694E-3</v>
      </c>
      <c r="V13" s="76">
        <f t="shared" si="4"/>
        <v>1</v>
      </c>
      <c r="W13" s="70"/>
      <c r="X13" s="71">
        <f t="shared" si="18"/>
        <v>1</v>
      </c>
      <c r="Y13" s="69">
        <f t="shared" si="19"/>
        <v>9623.2123200000005</v>
      </c>
      <c r="Z13" s="81"/>
      <c r="AA13" s="81">
        <v>9623.2123200000005</v>
      </c>
      <c r="AB13" s="82"/>
      <c r="AC13" s="82">
        <f t="shared" si="5"/>
        <v>896811.84909999999</v>
      </c>
      <c r="AD13" s="82">
        <f t="shared" si="5"/>
        <v>641137.90382000001</v>
      </c>
      <c r="AE13" s="82">
        <f t="shared" si="5"/>
        <v>85039</v>
      </c>
      <c r="AF13" s="82">
        <f t="shared" si="20"/>
        <v>170634.94527999999</v>
      </c>
      <c r="AG13" s="82">
        <f t="shared" si="6"/>
        <v>17063.494527999999</v>
      </c>
      <c r="AH13" s="82">
        <f t="shared" si="7"/>
        <v>26686.706848000002</v>
      </c>
      <c r="AI13" s="83">
        <f t="shared" si="8"/>
        <v>0</v>
      </c>
      <c r="AJ13" s="84">
        <f t="shared" si="21"/>
        <v>1.5</v>
      </c>
      <c r="AK13" s="70"/>
      <c r="AL13" s="71">
        <f t="shared" si="9"/>
        <v>1.5</v>
      </c>
      <c r="AM13" s="87">
        <v>35032.172180000001</v>
      </c>
      <c r="AN13" s="85">
        <v>36803.752</v>
      </c>
      <c r="AO13" s="118">
        <f t="shared" si="10"/>
        <v>0.95186415178539407</v>
      </c>
      <c r="AP13" s="89">
        <f t="shared" si="22"/>
        <v>1</v>
      </c>
      <c r="AQ13" s="70"/>
      <c r="AR13" s="90">
        <f t="shared" si="23"/>
        <v>1</v>
      </c>
      <c r="AS13" s="87">
        <v>64272.089849999997</v>
      </c>
      <c r="AT13" s="85">
        <v>82775.695000000007</v>
      </c>
      <c r="AU13" s="119">
        <f t="shared" si="24"/>
        <v>0.77646089048240541</v>
      </c>
      <c r="AV13" s="89">
        <f t="shared" si="25"/>
        <v>1</v>
      </c>
      <c r="AW13" s="70"/>
      <c r="AX13" s="90">
        <f t="shared" si="11"/>
        <v>1</v>
      </c>
      <c r="AY13" s="91">
        <f t="shared" si="14"/>
        <v>6.5</v>
      </c>
      <c r="AZ13" s="117"/>
      <c r="BA13" s="93">
        <v>47429.1</v>
      </c>
      <c r="BC13" s="94">
        <f t="shared" si="12"/>
        <v>0.71477886382160616</v>
      </c>
      <c r="BD13" s="8">
        <f t="shared" si="26"/>
        <v>0</v>
      </c>
      <c r="BE13" s="95">
        <f t="shared" si="27"/>
        <v>0</v>
      </c>
      <c r="BF13" s="95">
        <f t="shared" si="28"/>
        <v>0</v>
      </c>
      <c r="BG13" s="95">
        <f t="shared" si="29"/>
        <v>1</v>
      </c>
      <c r="BH13" s="8">
        <f t="shared" si="30"/>
        <v>0</v>
      </c>
      <c r="BJ13" s="94">
        <f t="shared" si="13"/>
        <v>0.22142417502695191</v>
      </c>
      <c r="BK13" s="8">
        <f t="shared" si="31"/>
        <v>0</v>
      </c>
      <c r="BL13" s="95">
        <f t="shared" si="32"/>
        <v>0</v>
      </c>
      <c r="BM13" s="95">
        <f t="shared" si="33"/>
        <v>1</v>
      </c>
      <c r="BN13" s="95">
        <f t="shared" si="34"/>
        <v>0</v>
      </c>
      <c r="BO13" s="8">
        <f t="shared" si="35"/>
        <v>0</v>
      </c>
    </row>
    <row r="14" spans="1:67" s="11" customFormat="1" x14ac:dyDescent="0.25">
      <c r="A14" s="120" t="s">
        <v>77</v>
      </c>
      <c r="B14" s="69">
        <v>7000</v>
      </c>
      <c r="C14" s="69">
        <v>2201.4241200000001</v>
      </c>
      <c r="D14" s="69">
        <v>7000</v>
      </c>
      <c r="E14" s="75">
        <f t="shared" si="15"/>
        <v>0.76075180414572607</v>
      </c>
      <c r="F14" s="115">
        <f t="shared" si="16"/>
        <v>1</v>
      </c>
      <c r="G14" s="85"/>
      <c r="H14" s="86">
        <f t="shared" si="0"/>
        <v>1</v>
      </c>
      <c r="I14" s="69">
        <v>7000</v>
      </c>
      <c r="J14" s="73">
        <v>329379.33577999996</v>
      </c>
      <c r="K14" s="74">
        <v>220270.68497</v>
      </c>
      <c r="L14" s="69">
        <v>45818</v>
      </c>
      <c r="M14" s="69">
        <v>0</v>
      </c>
      <c r="N14" s="75">
        <f t="shared" si="17"/>
        <v>0.11060085352912812</v>
      </c>
      <c r="O14" s="76">
        <f t="shared" si="1"/>
        <v>1</v>
      </c>
      <c r="P14" s="85"/>
      <c r="Q14" s="86">
        <f t="shared" si="2"/>
        <v>1</v>
      </c>
      <c r="R14" s="116">
        <v>586.41781000000003</v>
      </c>
      <c r="S14" s="69">
        <v>331580.7599</v>
      </c>
      <c r="T14" s="78">
        <v>119773.00472</v>
      </c>
      <c r="U14" s="75">
        <f t="shared" si="3"/>
        <v>2.7686323831799557E-3</v>
      </c>
      <c r="V14" s="76">
        <f t="shared" si="4"/>
        <v>1</v>
      </c>
      <c r="W14" s="85"/>
      <c r="X14" s="86">
        <f t="shared" si="18"/>
        <v>1</v>
      </c>
      <c r="Y14" s="69">
        <f t="shared" si="19"/>
        <v>2201.4241200000001</v>
      </c>
      <c r="Z14" s="81"/>
      <c r="AA14" s="81">
        <v>2201.4241200000001</v>
      </c>
      <c r="AB14" s="81"/>
      <c r="AC14" s="81">
        <f t="shared" si="5"/>
        <v>329379.33577999996</v>
      </c>
      <c r="AD14" s="81">
        <f t="shared" si="5"/>
        <v>220270.68497</v>
      </c>
      <c r="AE14" s="81">
        <f t="shared" si="5"/>
        <v>45818</v>
      </c>
      <c r="AF14" s="81">
        <f t="shared" si="20"/>
        <v>63290.650809999963</v>
      </c>
      <c r="AG14" s="82">
        <f>AF14*5%</f>
        <v>3164.5325404999985</v>
      </c>
      <c r="AH14" s="81">
        <f t="shared" si="7"/>
        <v>5365.9566604999982</v>
      </c>
      <c r="AI14" s="119">
        <f t="shared" si="8"/>
        <v>0</v>
      </c>
      <c r="AJ14" s="84">
        <f t="shared" si="21"/>
        <v>1.5</v>
      </c>
      <c r="AK14" s="121"/>
      <c r="AL14" s="86">
        <f t="shared" si="9"/>
        <v>1.5</v>
      </c>
      <c r="AM14" s="87">
        <v>10380.826010000001</v>
      </c>
      <c r="AN14" s="85">
        <v>10889.2</v>
      </c>
      <c r="AO14" s="118">
        <f t="shared" si="10"/>
        <v>0.95331392664291226</v>
      </c>
      <c r="AP14" s="89">
        <f t="shared" si="22"/>
        <v>1</v>
      </c>
      <c r="AQ14" s="121"/>
      <c r="AR14" s="122">
        <f t="shared" si="23"/>
        <v>1</v>
      </c>
      <c r="AS14" s="87">
        <v>24780.55702</v>
      </c>
      <c r="AT14" s="85">
        <v>26367.808000000001</v>
      </c>
      <c r="AU14" s="119">
        <f t="shared" si="24"/>
        <v>0.93980345351422456</v>
      </c>
      <c r="AV14" s="89">
        <f t="shared" si="25"/>
        <v>1</v>
      </c>
      <c r="AW14" s="121"/>
      <c r="AX14" s="122">
        <f t="shared" si="11"/>
        <v>1</v>
      </c>
      <c r="AY14" s="91">
        <f t="shared" si="14"/>
        <v>6.5</v>
      </c>
      <c r="AZ14" s="117"/>
      <c r="BA14" s="93">
        <v>35737.9</v>
      </c>
      <c r="BB14" s="8"/>
      <c r="BC14" s="94">
        <f t="shared" si="12"/>
        <v>0.6980499086552735</v>
      </c>
      <c r="BD14" s="8">
        <f t="shared" si="26"/>
        <v>0</v>
      </c>
      <c r="BE14" s="95">
        <f t="shared" si="27"/>
        <v>0</v>
      </c>
      <c r="BF14" s="95">
        <f t="shared" si="28"/>
        <v>1</v>
      </c>
      <c r="BG14" s="95">
        <f t="shared" si="29"/>
        <v>0</v>
      </c>
      <c r="BH14" s="8">
        <f t="shared" si="30"/>
        <v>0</v>
      </c>
      <c r="BJ14" s="94">
        <f t="shared" si="13"/>
        <v>0.38909082367676462</v>
      </c>
      <c r="BK14" s="8">
        <f t="shared" si="31"/>
        <v>0</v>
      </c>
      <c r="BL14" s="95">
        <f t="shared" si="32"/>
        <v>0</v>
      </c>
      <c r="BM14" s="95">
        <f t="shared" si="33"/>
        <v>1</v>
      </c>
      <c r="BN14" s="95">
        <f t="shared" si="34"/>
        <v>0</v>
      </c>
      <c r="BO14" s="8">
        <f t="shared" si="35"/>
        <v>0</v>
      </c>
    </row>
    <row r="15" spans="1:67" s="11" customFormat="1" x14ac:dyDescent="0.25">
      <c r="A15" s="96" t="s">
        <v>78</v>
      </c>
      <c r="B15" s="97">
        <v>0</v>
      </c>
      <c r="C15" s="97">
        <v>-2167.0974700000002</v>
      </c>
      <c r="D15" s="97">
        <v>0</v>
      </c>
      <c r="E15" s="98">
        <f t="shared" si="15"/>
        <v>0</v>
      </c>
      <c r="F15" s="99"/>
      <c r="G15" s="100">
        <f>IF(E15&lt;1,1,0)</f>
        <v>1</v>
      </c>
      <c r="H15" s="101">
        <f t="shared" si="0"/>
        <v>1</v>
      </c>
      <c r="I15" s="97">
        <v>0</v>
      </c>
      <c r="J15" s="102">
        <v>311650.26254999998</v>
      </c>
      <c r="K15" s="103">
        <v>222176.11783</v>
      </c>
      <c r="L15" s="97">
        <v>58794</v>
      </c>
      <c r="M15" s="97">
        <v>0</v>
      </c>
      <c r="N15" s="98">
        <f t="shared" si="17"/>
        <v>0</v>
      </c>
      <c r="O15" s="99"/>
      <c r="P15" s="100">
        <f>IF(N15&lt;=0.5,1,0)</f>
        <v>1</v>
      </c>
      <c r="Q15" s="101">
        <f t="shared" si="2"/>
        <v>1</v>
      </c>
      <c r="R15" s="123">
        <v>0</v>
      </c>
      <c r="S15" s="97">
        <v>309483.16508000001</v>
      </c>
      <c r="T15" s="105">
        <v>131931.30165000001</v>
      </c>
      <c r="U15" s="98">
        <f t="shared" si="3"/>
        <v>0</v>
      </c>
      <c r="V15" s="99"/>
      <c r="W15" s="100">
        <f>IF(U15&lt;=0.15,1,0)</f>
        <v>1</v>
      </c>
      <c r="X15" s="101">
        <f t="shared" si="18"/>
        <v>1</v>
      </c>
      <c r="Y15" s="97">
        <f t="shared" si="19"/>
        <v>-2167.0974700000002</v>
      </c>
      <c r="Z15" s="106"/>
      <c r="AA15" s="106">
        <v>-2167.0974700000002</v>
      </c>
      <c r="AB15" s="106"/>
      <c r="AC15" s="106">
        <f t="shared" si="5"/>
        <v>311650.26254999998</v>
      </c>
      <c r="AD15" s="106">
        <f t="shared" si="5"/>
        <v>222176.11783</v>
      </c>
      <c r="AE15" s="106">
        <f t="shared" si="5"/>
        <v>58794</v>
      </c>
      <c r="AF15" s="106">
        <f t="shared" si="20"/>
        <v>30680.144719999982</v>
      </c>
      <c r="AG15" s="106">
        <f>AF15*5%</f>
        <v>1534.0072359999992</v>
      </c>
      <c r="AH15" s="106">
        <f t="shared" si="7"/>
        <v>1534.0072359999992</v>
      </c>
      <c r="AI15" s="107">
        <f t="shared" si="8"/>
        <v>0</v>
      </c>
      <c r="AJ15" s="108"/>
      <c r="AK15" s="109">
        <f>IF(AI15&lt;=0.05,1.5,0)</f>
        <v>1.5</v>
      </c>
      <c r="AL15" s="101">
        <f t="shared" si="9"/>
        <v>1.5</v>
      </c>
      <c r="AM15" s="110">
        <v>12460.415080000001</v>
      </c>
      <c r="AN15" s="100">
        <v>13941.974</v>
      </c>
      <c r="AO15" s="111">
        <f t="shared" si="10"/>
        <v>0.89373392031860055</v>
      </c>
      <c r="AP15" s="108"/>
      <c r="AQ15" s="109">
        <f>IF(AO15&lt;=1,1,0)</f>
        <v>1</v>
      </c>
      <c r="AR15" s="112">
        <f t="shared" si="23"/>
        <v>1</v>
      </c>
      <c r="AS15" s="110">
        <v>31536.561290000001</v>
      </c>
      <c r="AT15" s="100">
        <v>34602.1</v>
      </c>
      <c r="AU15" s="107">
        <f t="shared" si="24"/>
        <v>0.91140599241086528</v>
      </c>
      <c r="AV15" s="108"/>
      <c r="AW15" s="109">
        <f>IF(AU15&lt;=1,1,0)</f>
        <v>1</v>
      </c>
      <c r="AX15" s="112">
        <f t="shared" si="11"/>
        <v>1</v>
      </c>
      <c r="AY15" s="91">
        <f t="shared" si="14"/>
        <v>6.5</v>
      </c>
      <c r="AZ15" s="117"/>
      <c r="BA15" s="93">
        <v>60777.599999999999</v>
      </c>
      <c r="BB15" s="8"/>
      <c r="BC15" s="94">
        <f t="shared" si="12"/>
        <v>0.8292882144078767</v>
      </c>
      <c r="BD15" s="8">
        <f t="shared" si="26"/>
        <v>0</v>
      </c>
      <c r="BE15" s="95">
        <f t="shared" si="27"/>
        <v>0</v>
      </c>
      <c r="BF15" s="95">
        <f t="shared" si="28"/>
        <v>0</v>
      </c>
      <c r="BG15" s="95">
        <f t="shared" si="29"/>
        <v>1</v>
      </c>
      <c r="BH15" s="8">
        <f t="shared" si="30"/>
        <v>0</v>
      </c>
      <c r="BJ15" s="94">
        <f t="shared" si="13"/>
        <v>0.6653254581553727</v>
      </c>
      <c r="BK15" s="8">
        <f t="shared" si="31"/>
        <v>0</v>
      </c>
      <c r="BL15" s="95">
        <f t="shared" si="32"/>
        <v>0</v>
      </c>
      <c r="BM15" s="95">
        <f t="shared" si="33"/>
        <v>0</v>
      </c>
      <c r="BN15" s="95">
        <f t="shared" si="34"/>
        <v>1</v>
      </c>
      <c r="BO15" s="8">
        <f t="shared" si="35"/>
        <v>0</v>
      </c>
    </row>
    <row r="16" spans="1:67" s="11" customFormat="1" x14ac:dyDescent="0.25">
      <c r="A16" s="120" t="s">
        <v>79</v>
      </c>
      <c r="B16" s="69">
        <v>60714.5</v>
      </c>
      <c r="C16" s="69">
        <v>-23657.171409999999</v>
      </c>
      <c r="D16" s="69">
        <v>61714.5</v>
      </c>
      <c r="E16" s="75">
        <f t="shared" si="15"/>
        <v>0.98379635255896103</v>
      </c>
      <c r="F16" s="115">
        <f t="shared" ref="F16:F18" si="36">IF(E16&lt;1,1,0)</f>
        <v>1</v>
      </c>
      <c r="G16" s="85"/>
      <c r="H16" s="86">
        <f t="shared" si="0"/>
        <v>1</v>
      </c>
      <c r="I16" s="69">
        <v>60714.5</v>
      </c>
      <c r="J16" s="73">
        <v>1418007.5401900001</v>
      </c>
      <c r="K16" s="74">
        <v>1047512.33097</v>
      </c>
      <c r="L16" s="69">
        <v>191202</v>
      </c>
      <c r="M16" s="69">
        <v>0</v>
      </c>
      <c r="N16" s="75">
        <f t="shared" si="17"/>
        <v>0.33863245721426533</v>
      </c>
      <c r="O16" s="76">
        <f t="shared" si="1"/>
        <v>1</v>
      </c>
      <c r="P16" s="85"/>
      <c r="Q16" s="86">
        <f t="shared" si="2"/>
        <v>1</v>
      </c>
      <c r="R16" s="116">
        <v>4811.8696399999999</v>
      </c>
      <c r="S16" s="69">
        <v>1394350.3687799999</v>
      </c>
      <c r="T16" s="78">
        <v>560649.17108</v>
      </c>
      <c r="U16" s="75">
        <f t="shared" si="3"/>
        <v>5.7716957265683448E-3</v>
      </c>
      <c r="V16" s="76">
        <f t="shared" si="4"/>
        <v>1</v>
      </c>
      <c r="W16" s="85"/>
      <c r="X16" s="86">
        <f t="shared" si="18"/>
        <v>1</v>
      </c>
      <c r="Y16" s="69">
        <f t="shared" si="19"/>
        <v>-23657.171409999999</v>
      </c>
      <c r="Z16" s="81"/>
      <c r="AA16" s="81">
        <v>-22657.171409999999</v>
      </c>
      <c r="AB16" s="81"/>
      <c r="AC16" s="81">
        <f t="shared" si="5"/>
        <v>1418007.5401900001</v>
      </c>
      <c r="AD16" s="81">
        <f t="shared" si="5"/>
        <v>1047512.33097</v>
      </c>
      <c r="AE16" s="81">
        <f t="shared" si="5"/>
        <v>191202</v>
      </c>
      <c r="AF16" s="81">
        <f t="shared" si="20"/>
        <v>179293.20922000008</v>
      </c>
      <c r="AG16" s="82">
        <f t="shared" si="6"/>
        <v>17929.32092200001</v>
      </c>
      <c r="AH16" s="81">
        <f>IF(AA16&gt;0,AA16,0)+AG16+IF(AB16&gt;0,AB16,0)</f>
        <v>17929.32092200001</v>
      </c>
      <c r="AI16" s="119">
        <f t="shared" si="8"/>
        <v>0</v>
      </c>
      <c r="AJ16" s="84">
        <f t="shared" si="21"/>
        <v>1.5</v>
      </c>
      <c r="AK16" s="85"/>
      <c r="AL16" s="86">
        <f t="shared" si="9"/>
        <v>1.5</v>
      </c>
      <c r="AM16" s="87">
        <v>31472.875380000001</v>
      </c>
      <c r="AN16" s="85">
        <v>33145.974999999999</v>
      </c>
      <c r="AO16" s="118">
        <f t="shared" si="10"/>
        <v>0.94952329445732109</v>
      </c>
      <c r="AP16" s="89">
        <f t="shared" si="22"/>
        <v>1</v>
      </c>
      <c r="AQ16" s="85"/>
      <c r="AR16" s="122">
        <f t="shared" si="23"/>
        <v>1</v>
      </c>
      <c r="AS16" s="87">
        <v>79031.326069999996</v>
      </c>
      <c r="AT16" s="85">
        <v>82494.293999999994</v>
      </c>
      <c r="AU16" s="119">
        <f t="shared" si="24"/>
        <v>0.95802172778156025</v>
      </c>
      <c r="AV16" s="89">
        <f t="shared" si="25"/>
        <v>1</v>
      </c>
      <c r="AW16" s="85"/>
      <c r="AX16" s="122">
        <f t="shared" si="11"/>
        <v>1</v>
      </c>
      <c r="AY16" s="91">
        <f t="shared" si="14"/>
        <v>6.5</v>
      </c>
      <c r="AZ16" s="117"/>
      <c r="BA16" s="93">
        <v>60678</v>
      </c>
      <c r="BB16" s="8"/>
      <c r="BC16" s="94">
        <f t="shared" si="12"/>
        <v>0.79087716912809825</v>
      </c>
      <c r="BD16" s="8">
        <f t="shared" si="26"/>
        <v>0</v>
      </c>
      <c r="BE16" s="95">
        <f t="shared" si="27"/>
        <v>0</v>
      </c>
      <c r="BF16" s="95">
        <f t="shared" si="28"/>
        <v>0</v>
      </c>
      <c r="BG16" s="95">
        <f t="shared" si="29"/>
        <v>1</v>
      </c>
      <c r="BH16" s="8">
        <f t="shared" si="30"/>
        <v>0</v>
      </c>
      <c r="BJ16" s="94">
        <f t="shared" si="13"/>
        <v>0.29378613316794194</v>
      </c>
      <c r="BK16" s="8">
        <f t="shared" si="31"/>
        <v>0</v>
      </c>
      <c r="BL16" s="95">
        <f t="shared" si="32"/>
        <v>0</v>
      </c>
      <c r="BM16" s="95">
        <f t="shared" si="33"/>
        <v>1</v>
      </c>
      <c r="BN16" s="95">
        <f t="shared" si="34"/>
        <v>0</v>
      </c>
      <c r="BO16" s="8">
        <f t="shared" si="35"/>
        <v>0</v>
      </c>
    </row>
    <row r="17" spans="1:67" s="11" customFormat="1" x14ac:dyDescent="0.25">
      <c r="A17" s="120" t="s">
        <v>80</v>
      </c>
      <c r="B17" s="69">
        <v>0</v>
      </c>
      <c r="C17" s="69">
        <v>119.52992999999999</v>
      </c>
      <c r="D17" s="69">
        <v>0</v>
      </c>
      <c r="E17" s="75">
        <f t="shared" si="15"/>
        <v>0</v>
      </c>
      <c r="F17" s="115">
        <f t="shared" si="36"/>
        <v>1</v>
      </c>
      <c r="G17" s="85"/>
      <c r="H17" s="86">
        <f t="shared" si="0"/>
        <v>1</v>
      </c>
      <c r="I17" s="69">
        <v>0</v>
      </c>
      <c r="J17" s="73">
        <v>358339.78162999998</v>
      </c>
      <c r="K17" s="74">
        <v>234558.84422</v>
      </c>
      <c r="L17" s="69">
        <v>40835</v>
      </c>
      <c r="M17" s="69">
        <v>0</v>
      </c>
      <c r="N17" s="75">
        <f t="shared" si="17"/>
        <v>0</v>
      </c>
      <c r="O17" s="76">
        <f>IF(N17&lt;=1,1,0)</f>
        <v>1</v>
      </c>
      <c r="P17" s="85"/>
      <c r="Q17" s="86">
        <f>O17+P17</f>
        <v>1</v>
      </c>
      <c r="R17" s="116">
        <v>0</v>
      </c>
      <c r="S17" s="69">
        <v>358459.31156</v>
      </c>
      <c r="T17" s="78">
        <v>160070.21109</v>
      </c>
      <c r="U17" s="75">
        <f t="shared" si="3"/>
        <v>0</v>
      </c>
      <c r="V17" s="76">
        <f>IF(U17&lt;=0.15,1,0)</f>
        <v>1</v>
      </c>
      <c r="W17" s="85"/>
      <c r="X17" s="86">
        <f t="shared" si="18"/>
        <v>1</v>
      </c>
      <c r="Y17" s="69">
        <f t="shared" si="19"/>
        <v>119.52992999999999</v>
      </c>
      <c r="Z17" s="81"/>
      <c r="AA17" s="81">
        <v>119.52992999999999</v>
      </c>
      <c r="AB17" s="81"/>
      <c r="AC17" s="81">
        <f t="shared" si="5"/>
        <v>358339.78162999998</v>
      </c>
      <c r="AD17" s="81">
        <f t="shared" si="5"/>
        <v>234558.84422</v>
      </c>
      <c r="AE17" s="81">
        <f t="shared" si="5"/>
        <v>40835</v>
      </c>
      <c r="AF17" s="81">
        <f t="shared" si="20"/>
        <v>82945.937409999984</v>
      </c>
      <c r="AG17" s="82">
        <f t="shared" si="6"/>
        <v>8294.5937409999988</v>
      </c>
      <c r="AH17" s="81">
        <f t="shared" ref="AH17:AH42" si="37">IF(AA17&gt;0,AA17,0)+AG17+IF(AB17&gt;0,AB17,0)</f>
        <v>8414.1236709999994</v>
      </c>
      <c r="AI17" s="119">
        <f t="shared" si="8"/>
        <v>0</v>
      </c>
      <c r="AJ17" s="84">
        <f t="shared" si="21"/>
        <v>1.5</v>
      </c>
      <c r="AK17" s="85"/>
      <c r="AL17" s="86">
        <f t="shared" si="9"/>
        <v>1.5</v>
      </c>
      <c r="AM17" s="87">
        <v>12329.343779999999</v>
      </c>
      <c r="AN17" s="85">
        <v>12949.924000000001</v>
      </c>
      <c r="AO17" s="118">
        <f t="shared" si="10"/>
        <v>0.95207846625200254</v>
      </c>
      <c r="AP17" s="89">
        <f t="shared" si="22"/>
        <v>1</v>
      </c>
      <c r="AQ17" s="85"/>
      <c r="AR17" s="122">
        <f>AP17+AQ17</f>
        <v>1</v>
      </c>
      <c r="AS17" s="87">
        <v>30090.52</v>
      </c>
      <c r="AT17" s="85">
        <v>30692.789000000001</v>
      </c>
      <c r="AU17" s="119">
        <f t="shared" si="24"/>
        <v>0.98037750821536618</v>
      </c>
      <c r="AV17" s="89">
        <f t="shared" si="25"/>
        <v>1</v>
      </c>
      <c r="AW17" s="85"/>
      <c r="AX17" s="122">
        <f t="shared" si="11"/>
        <v>1</v>
      </c>
      <c r="AY17" s="91">
        <f t="shared" si="14"/>
        <v>6.5</v>
      </c>
      <c r="AZ17" s="113"/>
      <c r="BA17" s="93">
        <v>30591.3</v>
      </c>
      <c r="BB17" s="8"/>
      <c r="BC17" s="94">
        <f t="shared" si="12"/>
        <v>0.58165069312405637</v>
      </c>
      <c r="BD17" s="8">
        <f t="shared" si="26"/>
        <v>0</v>
      </c>
      <c r="BE17" s="95">
        <f t="shared" si="27"/>
        <v>0</v>
      </c>
      <c r="BF17" s="95">
        <f t="shared" si="28"/>
        <v>1</v>
      </c>
      <c r="BG17" s="95">
        <f t="shared" si="29"/>
        <v>0</v>
      </c>
      <c r="BH17" s="8">
        <f t="shared" si="30"/>
        <v>0</v>
      </c>
      <c r="BJ17" s="94">
        <f t="shared" si="13"/>
        <v>0.36024842241533012</v>
      </c>
      <c r="BK17" s="8">
        <f t="shared" si="31"/>
        <v>0</v>
      </c>
      <c r="BL17" s="95">
        <f t="shared" si="32"/>
        <v>0</v>
      </c>
      <c r="BM17" s="95">
        <f t="shared" si="33"/>
        <v>1</v>
      </c>
      <c r="BN17" s="95">
        <f t="shared" si="34"/>
        <v>0</v>
      </c>
      <c r="BO17" s="8">
        <f t="shared" si="35"/>
        <v>0</v>
      </c>
    </row>
    <row r="18" spans="1:67" s="11" customFormat="1" x14ac:dyDescent="0.25">
      <c r="A18" s="120" t="s">
        <v>81</v>
      </c>
      <c r="B18" s="69">
        <v>0</v>
      </c>
      <c r="C18" s="69">
        <v>-276.85955000000001</v>
      </c>
      <c r="D18" s="69">
        <v>0</v>
      </c>
      <c r="E18" s="75">
        <f>IF(AND(B18=0,D18=0),0,B18/(IF(C18&gt;0,C18,0)+D18))</f>
        <v>0</v>
      </c>
      <c r="F18" s="115">
        <f t="shared" si="36"/>
        <v>1</v>
      </c>
      <c r="G18" s="85"/>
      <c r="H18" s="86">
        <f>F18+G18</f>
        <v>1</v>
      </c>
      <c r="I18" s="69">
        <v>0</v>
      </c>
      <c r="J18" s="73">
        <v>202639.95637</v>
      </c>
      <c r="K18" s="74">
        <v>169568.39421</v>
      </c>
      <c r="L18" s="69">
        <v>19031</v>
      </c>
      <c r="M18" s="69">
        <v>0</v>
      </c>
      <c r="N18" s="75">
        <f>(I18-M18)/(J18-K18-L18)</f>
        <v>0</v>
      </c>
      <c r="O18" s="76">
        <f>IF(N18&lt;=1,1,0)</f>
        <v>1</v>
      </c>
      <c r="P18" s="85"/>
      <c r="Q18" s="86">
        <f>O18+P18</f>
        <v>1</v>
      </c>
      <c r="R18" s="116">
        <v>0</v>
      </c>
      <c r="S18" s="69">
        <v>202363.09682000001</v>
      </c>
      <c r="T18" s="78">
        <v>92956.577189999996</v>
      </c>
      <c r="U18" s="75">
        <f>R18/(S18-T18)</f>
        <v>0</v>
      </c>
      <c r="V18" s="76">
        <f>IF(U18&lt;=0.15,1,0)</f>
        <v>1</v>
      </c>
      <c r="W18" s="85"/>
      <c r="X18" s="86">
        <f>V18+W18</f>
        <v>1</v>
      </c>
      <c r="Y18" s="69">
        <f t="shared" si="19"/>
        <v>-276.85955000000001</v>
      </c>
      <c r="Z18" s="81"/>
      <c r="AA18" s="81">
        <v>-276.85955000000001</v>
      </c>
      <c r="AB18" s="81"/>
      <c r="AC18" s="81">
        <f>J18</f>
        <v>202639.95637</v>
      </c>
      <c r="AD18" s="81">
        <f>K18</f>
        <v>169568.39421</v>
      </c>
      <c r="AE18" s="81">
        <f>L18</f>
        <v>19031</v>
      </c>
      <c r="AF18" s="81">
        <f>AC18-AD18-AE18</f>
        <v>14040.562160000001</v>
      </c>
      <c r="AG18" s="82">
        <f>AF18*10%</f>
        <v>1404.0562160000002</v>
      </c>
      <c r="AH18" s="81">
        <f>IF(AA18&gt;0,AA18,0)+AG18+IF(AB18&gt;0,AB18,0)</f>
        <v>1404.0562160000002</v>
      </c>
      <c r="AI18" s="119">
        <f>IF((Y18-IF(Z18&gt;0,Z18,0)-IF(AA18&gt;0,AA18,0)-IF(AB18&gt;0,AB18,0))/(AC18-AD18-AE18)&gt;0,(Y18-IF(Z18&gt;0,Z18,0)-IF(AA18&gt;0,AA18,0)-IF(AB18&gt;0,AB18,0))/(AC18-AD18-AE18),0)</f>
        <v>0</v>
      </c>
      <c r="AJ18" s="84">
        <f>IF(AI18&lt;=0.1,1.5,0)</f>
        <v>1.5</v>
      </c>
      <c r="AK18" s="85"/>
      <c r="AL18" s="86">
        <f>AJ18+AK18</f>
        <v>1.5</v>
      </c>
      <c r="AM18" s="87">
        <v>10327.2294</v>
      </c>
      <c r="AN18" s="85">
        <v>12455.677</v>
      </c>
      <c r="AO18" s="118">
        <f>AM18/AN18</f>
        <v>0.82911827273619898</v>
      </c>
      <c r="AP18" s="89">
        <f>IF(AO18&lt;=1,1,0)</f>
        <v>1</v>
      </c>
      <c r="AQ18" s="85"/>
      <c r="AR18" s="122">
        <f>AP18+AQ18</f>
        <v>1</v>
      </c>
      <c r="AS18" s="87">
        <v>24878.662380000002</v>
      </c>
      <c r="AT18" s="85">
        <v>31240.518</v>
      </c>
      <c r="AU18" s="119">
        <f>AS18/AT18</f>
        <v>0.79635883054179835</v>
      </c>
      <c r="AV18" s="89">
        <f>IF(AU18&lt;=1,1,0)</f>
        <v>1</v>
      </c>
      <c r="AW18" s="85"/>
      <c r="AX18" s="122">
        <f>AV18+AW18</f>
        <v>1</v>
      </c>
      <c r="AY18" s="91">
        <f t="shared" si="14"/>
        <v>6.5</v>
      </c>
      <c r="AZ18" s="117"/>
      <c r="BA18" s="124">
        <v>53554.400000000001</v>
      </c>
      <c r="BC18" s="125">
        <f t="shared" si="12"/>
        <v>0.87199006572401261</v>
      </c>
      <c r="BD18" s="11">
        <f t="shared" si="26"/>
        <v>0</v>
      </c>
      <c r="BE18" s="126">
        <f t="shared" si="27"/>
        <v>0</v>
      </c>
      <c r="BF18" s="126">
        <f t="shared" si="28"/>
        <v>0</v>
      </c>
      <c r="BG18" s="126">
        <f t="shared" si="29"/>
        <v>1</v>
      </c>
      <c r="BH18" s="11">
        <f t="shared" si="30"/>
        <v>0</v>
      </c>
      <c r="BJ18" s="125">
        <f t="shared" si="13"/>
        <v>0.66177209840408924</v>
      </c>
      <c r="BK18" s="11">
        <f t="shared" si="31"/>
        <v>0</v>
      </c>
      <c r="BL18" s="126">
        <f t="shared" si="32"/>
        <v>0</v>
      </c>
      <c r="BM18" s="126">
        <f t="shared" si="33"/>
        <v>0</v>
      </c>
      <c r="BN18" s="126">
        <f t="shared" si="34"/>
        <v>1</v>
      </c>
      <c r="BO18" s="11">
        <f t="shared" si="35"/>
        <v>0</v>
      </c>
    </row>
    <row r="19" spans="1:67" s="11" customFormat="1" x14ac:dyDescent="0.25">
      <c r="A19" s="96" t="s">
        <v>82</v>
      </c>
      <c r="B19" s="97">
        <v>0</v>
      </c>
      <c r="C19" s="97">
        <v>336.55678</v>
      </c>
      <c r="D19" s="97">
        <v>0</v>
      </c>
      <c r="E19" s="98">
        <f t="shared" si="15"/>
        <v>0</v>
      </c>
      <c r="F19" s="99"/>
      <c r="G19" s="100">
        <f t="shared" ref="G19:G35" si="38">IF(E19&lt;1,1,0)</f>
        <v>1</v>
      </c>
      <c r="H19" s="101">
        <f t="shared" si="0"/>
        <v>1</v>
      </c>
      <c r="I19" s="97">
        <v>0</v>
      </c>
      <c r="J19" s="102">
        <v>323809.64344000001</v>
      </c>
      <c r="K19" s="103">
        <v>235866.07733</v>
      </c>
      <c r="L19" s="97">
        <v>48518</v>
      </c>
      <c r="M19" s="97">
        <v>0</v>
      </c>
      <c r="N19" s="98">
        <f t="shared" si="17"/>
        <v>0</v>
      </c>
      <c r="O19" s="99"/>
      <c r="P19" s="100">
        <f t="shared" ref="P19:P39" si="39">IF(N19&lt;=0.5,1,0)</f>
        <v>1</v>
      </c>
      <c r="Q19" s="101">
        <f t="shared" si="2"/>
        <v>1</v>
      </c>
      <c r="R19" s="104">
        <v>0</v>
      </c>
      <c r="S19" s="97">
        <v>324146.20022000006</v>
      </c>
      <c r="T19" s="105">
        <v>129373.05593999999</v>
      </c>
      <c r="U19" s="98">
        <f t="shared" si="3"/>
        <v>0</v>
      </c>
      <c r="V19" s="99"/>
      <c r="W19" s="100">
        <f t="shared" ref="W19:W39" si="40">IF(U19&lt;=0.15,1,0)</f>
        <v>1</v>
      </c>
      <c r="X19" s="101">
        <f t="shared" si="18"/>
        <v>1</v>
      </c>
      <c r="Y19" s="97">
        <f t="shared" si="19"/>
        <v>336.55678</v>
      </c>
      <c r="Z19" s="106"/>
      <c r="AA19" s="106">
        <v>336.55678</v>
      </c>
      <c r="AB19" s="106"/>
      <c r="AC19" s="106">
        <f t="shared" si="5"/>
        <v>323809.64344000001</v>
      </c>
      <c r="AD19" s="106">
        <f t="shared" si="5"/>
        <v>235866.07733</v>
      </c>
      <c r="AE19" s="106">
        <f t="shared" si="5"/>
        <v>48518</v>
      </c>
      <c r="AF19" s="106">
        <f t="shared" si="20"/>
        <v>39425.566110000014</v>
      </c>
      <c r="AG19" s="106">
        <f>AF19*10%</f>
        <v>3942.5566110000018</v>
      </c>
      <c r="AH19" s="106">
        <f t="shared" si="37"/>
        <v>4279.1133910000017</v>
      </c>
      <c r="AI19" s="107">
        <f t="shared" si="8"/>
        <v>0</v>
      </c>
      <c r="AJ19" s="108"/>
      <c r="AK19" s="109">
        <f t="shared" ref="AK19:AK34" si="41">IF(AI19&lt;=0.05,1.5,0)</f>
        <v>1.5</v>
      </c>
      <c r="AL19" s="101">
        <f t="shared" si="9"/>
        <v>1.5</v>
      </c>
      <c r="AM19" s="110">
        <v>11570.04098</v>
      </c>
      <c r="AN19" s="100">
        <v>13941.974</v>
      </c>
      <c r="AO19" s="111">
        <f t="shared" si="10"/>
        <v>0.82987107707990271</v>
      </c>
      <c r="AP19" s="108"/>
      <c r="AQ19" s="109">
        <f t="shared" ref="AQ19:AQ34" si="42">IF(AO19&lt;=1,1,0)</f>
        <v>1</v>
      </c>
      <c r="AR19" s="112">
        <f t="shared" si="23"/>
        <v>1</v>
      </c>
      <c r="AS19" s="110">
        <v>28689.528180000001</v>
      </c>
      <c r="AT19" s="100">
        <v>34602.1</v>
      </c>
      <c r="AU19" s="107">
        <f t="shared" si="24"/>
        <v>0.82912679230451336</v>
      </c>
      <c r="AV19" s="108"/>
      <c r="AW19" s="109">
        <f t="shared" ref="AW19:AW34" si="43">IF(AU19&lt;=1,1,0)</f>
        <v>1</v>
      </c>
      <c r="AX19" s="112">
        <f t="shared" si="11"/>
        <v>1</v>
      </c>
      <c r="AY19" s="91">
        <f t="shared" si="14"/>
        <v>6.5</v>
      </c>
      <c r="AZ19" s="113"/>
      <c r="BA19" s="93">
        <v>45238.1</v>
      </c>
      <c r="BB19" s="8"/>
      <c r="BC19" s="94">
        <f t="shared" si="12"/>
        <v>0.79723175243445366</v>
      </c>
      <c r="BD19" s="8">
        <f t="shared" si="26"/>
        <v>0</v>
      </c>
      <c r="BE19" s="95">
        <f t="shared" si="27"/>
        <v>0</v>
      </c>
      <c r="BF19" s="95">
        <f t="shared" si="28"/>
        <v>0</v>
      </c>
      <c r="BG19" s="95">
        <f t="shared" si="29"/>
        <v>1</v>
      </c>
      <c r="BH19" s="8">
        <f t="shared" si="30"/>
        <v>0</v>
      </c>
      <c r="BJ19" s="94">
        <f t="shared" si="13"/>
        <v>0.48219371264166005</v>
      </c>
      <c r="BK19" s="8">
        <f t="shared" si="31"/>
        <v>0</v>
      </c>
      <c r="BL19" s="95">
        <f t="shared" si="32"/>
        <v>0</v>
      </c>
      <c r="BM19" s="95">
        <f t="shared" si="33"/>
        <v>1</v>
      </c>
      <c r="BN19" s="95">
        <f t="shared" si="34"/>
        <v>0</v>
      </c>
      <c r="BO19" s="8">
        <f t="shared" si="35"/>
        <v>0</v>
      </c>
    </row>
    <row r="20" spans="1:67" s="11" customFormat="1" x14ac:dyDescent="0.25">
      <c r="A20" s="96" t="s">
        <v>83</v>
      </c>
      <c r="B20" s="97">
        <v>0</v>
      </c>
      <c r="C20" s="97">
        <v>-980.26625000000001</v>
      </c>
      <c r="D20" s="97">
        <v>0</v>
      </c>
      <c r="E20" s="98">
        <f t="shared" si="15"/>
        <v>0</v>
      </c>
      <c r="F20" s="99"/>
      <c r="G20" s="100">
        <f t="shared" si="38"/>
        <v>1</v>
      </c>
      <c r="H20" s="101">
        <f t="shared" si="0"/>
        <v>1</v>
      </c>
      <c r="I20" s="97">
        <v>0</v>
      </c>
      <c r="J20" s="102">
        <v>168285.55145</v>
      </c>
      <c r="K20" s="103">
        <v>120280.43056000001</v>
      </c>
      <c r="L20" s="97">
        <v>25750</v>
      </c>
      <c r="M20" s="97">
        <v>0</v>
      </c>
      <c r="N20" s="98">
        <f t="shared" si="17"/>
        <v>0</v>
      </c>
      <c r="O20" s="99"/>
      <c r="P20" s="100">
        <f t="shared" si="39"/>
        <v>1</v>
      </c>
      <c r="Q20" s="101">
        <f t="shared" si="2"/>
        <v>1</v>
      </c>
      <c r="R20" s="104">
        <v>0</v>
      </c>
      <c r="S20" s="97">
        <v>167305.28519999998</v>
      </c>
      <c r="T20" s="105">
        <v>69516.756659999999</v>
      </c>
      <c r="U20" s="98">
        <f t="shared" si="3"/>
        <v>0</v>
      </c>
      <c r="V20" s="99"/>
      <c r="W20" s="100">
        <f t="shared" si="40"/>
        <v>1</v>
      </c>
      <c r="X20" s="101">
        <f t="shared" si="18"/>
        <v>1</v>
      </c>
      <c r="Y20" s="97">
        <f t="shared" si="19"/>
        <v>-980.26625000000001</v>
      </c>
      <c r="Z20" s="106"/>
      <c r="AA20" s="106">
        <v>-980.26625000000001</v>
      </c>
      <c r="AB20" s="106"/>
      <c r="AC20" s="106">
        <f t="shared" si="5"/>
        <v>168285.55145</v>
      </c>
      <c r="AD20" s="106">
        <f t="shared" si="5"/>
        <v>120280.43056000001</v>
      </c>
      <c r="AE20" s="106">
        <f t="shared" si="5"/>
        <v>25750</v>
      </c>
      <c r="AF20" s="106">
        <f t="shared" si="20"/>
        <v>22255.120889999991</v>
      </c>
      <c r="AG20" s="106">
        <f>AF20*5%</f>
        <v>1112.7560444999997</v>
      </c>
      <c r="AH20" s="106">
        <f t="shared" si="37"/>
        <v>1112.7560444999997</v>
      </c>
      <c r="AI20" s="107">
        <f t="shared" si="8"/>
        <v>0</v>
      </c>
      <c r="AJ20" s="99"/>
      <c r="AK20" s="109">
        <f t="shared" si="41"/>
        <v>1.5</v>
      </c>
      <c r="AL20" s="101">
        <f t="shared" si="9"/>
        <v>1.5</v>
      </c>
      <c r="AM20" s="110">
        <v>8894.6414399999994</v>
      </c>
      <c r="AN20" s="100">
        <v>11425.258</v>
      </c>
      <c r="AO20" s="111">
        <f t="shared" si="10"/>
        <v>0.77850683459401959</v>
      </c>
      <c r="AP20" s="99"/>
      <c r="AQ20" s="109">
        <f t="shared" si="42"/>
        <v>1</v>
      </c>
      <c r="AR20" s="112">
        <f t="shared" si="23"/>
        <v>1</v>
      </c>
      <c r="AS20" s="110">
        <v>23527.205999999998</v>
      </c>
      <c r="AT20" s="100">
        <v>28937.664000000001</v>
      </c>
      <c r="AU20" s="107">
        <f t="shared" si="24"/>
        <v>0.81303058878560475</v>
      </c>
      <c r="AV20" s="99"/>
      <c r="AW20" s="109">
        <f t="shared" si="43"/>
        <v>1</v>
      </c>
      <c r="AX20" s="112">
        <f t="shared" si="11"/>
        <v>1</v>
      </c>
      <c r="AY20" s="91">
        <f t="shared" si="14"/>
        <v>6.5</v>
      </c>
      <c r="AZ20" s="113"/>
      <c r="BA20" s="93">
        <v>34880.6</v>
      </c>
      <c r="BB20" s="8"/>
      <c r="BC20" s="94">
        <f t="shared" si="12"/>
        <v>0.77467457269962303</v>
      </c>
      <c r="BD20" s="8">
        <f t="shared" si="26"/>
        <v>0</v>
      </c>
      <c r="BE20" s="95">
        <f t="shared" si="27"/>
        <v>0</v>
      </c>
      <c r="BF20" s="95">
        <f t="shared" si="28"/>
        <v>0</v>
      </c>
      <c r="BG20" s="95">
        <f t="shared" si="29"/>
        <v>1</v>
      </c>
      <c r="BH20" s="8">
        <f t="shared" si="30"/>
        <v>0</v>
      </c>
      <c r="BJ20" s="94">
        <f t="shared" si="13"/>
        <v>0.61386392462225969</v>
      </c>
      <c r="BK20" s="8">
        <f t="shared" si="31"/>
        <v>0</v>
      </c>
      <c r="BL20" s="95">
        <f t="shared" si="32"/>
        <v>0</v>
      </c>
      <c r="BM20" s="95">
        <f t="shared" si="33"/>
        <v>0</v>
      </c>
      <c r="BN20" s="95">
        <f t="shared" si="34"/>
        <v>1</v>
      </c>
      <c r="BO20" s="8">
        <f t="shared" si="35"/>
        <v>0</v>
      </c>
    </row>
    <row r="21" spans="1:67" s="11" customFormat="1" x14ac:dyDescent="0.25">
      <c r="A21" s="96" t="s">
        <v>84</v>
      </c>
      <c r="B21" s="97">
        <v>0</v>
      </c>
      <c r="C21" s="97">
        <v>-1416.9187400000001</v>
      </c>
      <c r="D21" s="97">
        <v>0</v>
      </c>
      <c r="E21" s="98">
        <f t="shared" si="15"/>
        <v>0</v>
      </c>
      <c r="F21" s="99"/>
      <c r="G21" s="100">
        <f t="shared" si="38"/>
        <v>1</v>
      </c>
      <c r="H21" s="101">
        <f t="shared" si="0"/>
        <v>1</v>
      </c>
      <c r="I21" s="97">
        <v>0</v>
      </c>
      <c r="J21" s="102">
        <v>554819.33637000003</v>
      </c>
      <c r="K21" s="103">
        <v>410961.47070000001</v>
      </c>
      <c r="L21" s="97">
        <v>88725</v>
      </c>
      <c r="M21" s="97">
        <v>0</v>
      </c>
      <c r="N21" s="98">
        <f t="shared" si="17"/>
        <v>0</v>
      </c>
      <c r="O21" s="99"/>
      <c r="P21" s="100">
        <f t="shared" si="39"/>
        <v>1</v>
      </c>
      <c r="Q21" s="101">
        <f t="shared" si="2"/>
        <v>1</v>
      </c>
      <c r="R21" s="104">
        <v>0</v>
      </c>
      <c r="S21" s="97">
        <v>553402.41763000004</v>
      </c>
      <c r="T21" s="105">
        <v>224398.81813</v>
      </c>
      <c r="U21" s="98">
        <f t="shared" si="3"/>
        <v>0</v>
      </c>
      <c r="V21" s="99"/>
      <c r="W21" s="100">
        <f t="shared" si="40"/>
        <v>1</v>
      </c>
      <c r="X21" s="101">
        <f t="shared" si="18"/>
        <v>1</v>
      </c>
      <c r="Y21" s="97">
        <f t="shared" si="19"/>
        <v>-1416.9187400000001</v>
      </c>
      <c r="Z21" s="106"/>
      <c r="AA21" s="106">
        <v>-1416.9187400000001</v>
      </c>
      <c r="AB21" s="106"/>
      <c r="AC21" s="106">
        <f t="shared" si="5"/>
        <v>554819.33637000003</v>
      </c>
      <c r="AD21" s="106">
        <f t="shared" si="5"/>
        <v>410961.47070000001</v>
      </c>
      <c r="AE21" s="106">
        <f t="shared" si="5"/>
        <v>88725</v>
      </c>
      <c r="AF21" s="106">
        <f t="shared" si="20"/>
        <v>55132.865670000028</v>
      </c>
      <c r="AG21" s="106">
        <f>AF21*10%</f>
        <v>5513.2865670000028</v>
      </c>
      <c r="AH21" s="106">
        <f t="shared" si="37"/>
        <v>5513.2865670000028</v>
      </c>
      <c r="AI21" s="107">
        <f t="shared" si="8"/>
        <v>0</v>
      </c>
      <c r="AJ21" s="108"/>
      <c r="AK21" s="109">
        <f t="shared" si="41"/>
        <v>1.5</v>
      </c>
      <c r="AL21" s="101">
        <f t="shared" si="9"/>
        <v>1.5</v>
      </c>
      <c r="AM21" s="110">
        <v>18127.390490000002</v>
      </c>
      <c r="AN21" s="100">
        <v>19855.387999999999</v>
      </c>
      <c r="AO21" s="111">
        <f t="shared" si="10"/>
        <v>0.91297085153913904</v>
      </c>
      <c r="AP21" s="108"/>
      <c r="AQ21" s="109">
        <f t="shared" si="42"/>
        <v>1</v>
      </c>
      <c r="AR21" s="112">
        <f t="shared" si="23"/>
        <v>1</v>
      </c>
      <c r="AS21" s="110">
        <v>40557.288999999997</v>
      </c>
      <c r="AT21" s="100">
        <v>45573.536</v>
      </c>
      <c r="AU21" s="107">
        <f t="shared" si="24"/>
        <v>0.88993070452115008</v>
      </c>
      <c r="AV21" s="108"/>
      <c r="AW21" s="109">
        <f t="shared" si="43"/>
        <v>1</v>
      </c>
      <c r="AX21" s="112">
        <f t="shared" si="11"/>
        <v>1</v>
      </c>
      <c r="AY21" s="91">
        <f t="shared" si="14"/>
        <v>6.5</v>
      </c>
      <c r="AZ21" s="113"/>
      <c r="BA21" s="93">
        <v>63365.2</v>
      </c>
      <c r="BB21" s="8"/>
      <c r="BC21" s="94">
        <f t="shared" si="12"/>
        <v>0.83314333515464567</v>
      </c>
      <c r="BD21" s="8">
        <f t="shared" si="26"/>
        <v>0</v>
      </c>
      <c r="BE21" s="95">
        <f t="shared" si="27"/>
        <v>0</v>
      </c>
      <c r="BF21" s="95">
        <f t="shared" si="28"/>
        <v>0</v>
      </c>
      <c r="BG21" s="95">
        <f t="shared" si="29"/>
        <v>1</v>
      </c>
      <c r="BH21" s="8">
        <f t="shared" si="30"/>
        <v>0</v>
      </c>
      <c r="BJ21" s="94">
        <f t="shared" si="13"/>
        <v>0.46029284382857161</v>
      </c>
      <c r="BK21" s="8">
        <f t="shared" si="31"/>
        <v>0</v>
      </c>
      <c r="BL21" s="95">
        <f t="shared" si="32"/>
        <v>0</v>
      </c>
      <c r="BM21" s="95">
        <f t="shared" si="33"/>
        <v>1</v>
      </c>
      <c r="BN21" s="95">
        <f t="shared" si="34"/>
        <v>0</v>
      </c>
      <c r="BO21" s="8">
        <f t="shared" si="35"/>
        <v>0</v>
      </c>
    </row>
    <row r="22" spans="1:67" s="11" customFormat="1" x14ac:dyDescent="0.25">
      <c r="A22" s="96" t="s">
        <v>85</v>
      </c>
      <c r="B22" s="97">
        <v>0</v>
      </c>
      <c r="C22" s="97">
        <v>555.51109999999994</v>
      </c>
      <c r="D22" s="97">
        <v>0</v>
      </c>
      <c r="E22" s="98">
        <f t="shared" si="15"/>
        <v>0</v>
      </c>
      <c r="F22" s="99"/>
      <c r="G22" s="100">
        <f t="shared" si="38"/>
        <v>1</v>
      </c>
      <c r="H22" s="101">
        <f t="shared" si="0"/>
        <v>1</v>
      </c>
      <c r="I22" s="97">
        <v>0</v>
      </c>
      <c r="J22" s="102">
        <v>435271.14564</v>
      </c>
      <c r="K22" s="103">
        <v>334131.83908000001</v>
      </c>
      <c r="L22" s="97">
        <v>36951</v>
      </c>
      <c r="M22" s="97">
        <v>0</v>
      </c>
      <c r="N22" s="98">
        <f t="shared" si="17"/>
        <v>0</v>
      </c>
      <c r="O22" s="99"/>
      <c r="P22" s="100">
        <f t="shared" si="39"/>
        <v>1</v>
      </c>
      <c r="Q22" s="101">
        <f t="shared" si="2"/>
        <v>1</v>
      </c>
      <c r="R22" s="104">
        <v>0</v>
      </c>
      <c r="S22" s="97">
        <v>435826.65674000001</v>
      </c>
      <c r="T22" s="105">
        <v>193716.05286000003</v>
      </c>
      <c r="U22" s="98">
        <f t="shared" si="3"/>
        <v>0</v>
      </c>
      <c r="V22" s="99"/>
      <c r="W22" s="100">
        <f t="shared" si="40"/>
        <v>1</v>
      </c>
      <c r="X22" s="101">
        <f t="shared" si="18"/>
        <v>1</v>
      </c>
      <c r="Y22" s="97">
        <f t="shared" si="19"/>
        <v>555.51109999999994</v>
      </c>
      <c r="Z22" s="106"/>
      <c r="AA22" s="106">
        <v>555.51109999999994</v>
      </c>
      <c r="AB22" s="106"/>
      <c r="AC22" s="106">
        <f t="shared" si="5"/>
        <v>435271.14564</v>
      </c>
      <c r="AD22" s="106">
        <f t="shared" si="5"/>
        <v>334131.83908000001</v>
      </c>
      <c r="AE22" s="106">
        <f t="shared" si="5"/>
        <v>36951</v>
      </c>
      <c r="AF22" s="106">
        <f t="shared" si="20"/>
        <v>64188.306559999997</v>
      </c>
      <c r="AG22" s="106">
        <f>AF22*5%</f>
        <v>3209.415328</v>
      </c>
      <c r="AH22" s="106">
        <f t="shared" si="37"/>
        <v>3764.9264279999998</v>
      </c>
      <c r="AI22" s="107">
        <f t="shared" si="8"/>
        <v>0</v>
      </c>
      <c r="AJ22" s="99"/>
      <c r="AK22" s="109">
        <f t="shared" si="41"/>
        <v>1.5</v>
      </c>
      <c r="AL22" s="101">
        <f t="shared" si="9"/>
        <v>1.5</v>
      </c>
      <c r="AM22" s="110">
        <v>10790.20132</v>
      </c>
      <c r="AN22" s="100">
        <v>12455.677</v>
      </c>
      <c r="AO22" s="111">
        <f t="shared" si="10"/>
        <v>0.86628782361649237</v>
      </c>
      <c r="AP22" s="99"/>
      <c r="AQ22" s="109">
        <f t="shared" si="42"/>
        <v>1</v>
      </c>
      <c r="AR22" s="112">
        <f t="shared" si="23"/>
        <v>1</v>
      </c>
      <c r="AS22" s="110">
        <v>29569.233840000001</v>
      </c>
      <c r="AT22" s="100">
        <v>31240.518</v>
      </c>
      <c r="AU22" s="107">
        <f t="shared" si="24"/>
        <v>0.9465026745075098</v>
      </c>
      <c r="AV22" s="99"/>
      <c r="AW22" s="109">
        <f t="shared" si="43"/>
        <v>1</v>
      </c>
      <c r="AX22" s="112">
        <f t="shared" si="11"/>
        <v>1</v>
      </c>
      <c r="AY22" s="91">
        <f t="shared" si="14"/>
        <v>6.5</v>
      </c>
      <c r="AZ22" s="113"/>
      <c r="BA22" s="93">
        <v>44609.5</v>
      </c>
      <c r="BB22" s="8"/>
      <c r="BC22" s="94">
        <f t="shared" si="12"/>
        <v>0.73427053091171846</v>
      </c>
      <c r="BD22" s="8">
        <f t="shared" si="26"/>
        <v>0</v>
      </c>
      <c r="BE22" s="95">
        <f t="shared" si="27"/>
        <v>0</v>
      </c>
      <c r="BF22" s="95">
        <f t="shared" si="28"/>
        <v>0</v>
      </c>
      <c r="BG22" s="95">
        <f t="shared" si="29"/>
        <v>1</v>
      </c>
      <c r="BH22" s="8">
        <f t="shared" si="30"/>
        <v>0</v>
      </c>
      <c r="BJ22" s="94">
        <f t="shared" si="13"/>
        <v>0.33764761099151192</v>
      </c>
      <c r="BK22" s="8">
        <f t="shared" si="31"/>
        <v>0</v>
      </c>
      <c r="BL22" s="95">
        <f t="shared" si="32"/>
        <v>0</v>
      </c>
      <c r="BM22" s="95">
        <f t="shared" si="33"/>
        <v>1</v>
      </c>
      <c r="BN22" s="95">
        <f t="shared" si="34"/>
        <v>0</v>
      </c>
      <c r="BO22" s="8">
        <f t="shared" si="35"/>
        <v>0</v>
      </c>
    </row>
    <row r="23" spans="1:67" s="11" customFormat="1" x14ac:dyDescent="0.25">
      <c r="A23" s="96" t="s">
        <v>86</v>
      </c>
      <c r="B23" s="97">
        <v>0</v>
      </c>
      <c r="C23" s="97">
        <v>1762.9126200000001</v>
      </c>
      <c r="D23" s="97">
        <v>0</v>
      </c>
      <c r="E23" s="98">
        <f t="shared" si="15"/>
        <v>0</v>
      </c>
      <c r="F23" s="99"/>
      <c r="G23" s="100">
        <f t="shared" si="38"/>
        <v>1</v>
      </c>
      <c r="H23" s="101">
        <f t="shared" si="0"/>
        <v>1</v>
      </c>
      <c r="I23" s="97">
        <v>0</v>
      </c>
      <c r="J23" s="102">
        <v>509133.28152999998</v>
      </c>
      <c r="K23" s="103">
        <v>346752.1875</v>
      </c>
      <c r="L23" s="97">
        <v>97216</v>
      </c>
      <c r="M23" s="97">
        <v>0</v>
      </c>
      <c r="N23" s="98">
        <f t="shared" si="17"/>
        <v>0</v>
      </c>
      <c r="O23" s="99"/>
      <c r="P23" s="100">
        <f t="shared" si="39"/>
        <v>1</v>
      </c>
      <c r="Q23" s="101">
        <f t="shared" si="2"/>
        <v>1</v>
      </c>
      <c r="R23" s="104">
        <v>0</v>
      </c>
      <c r="S23" s="97">
        <v>510896.19415</v>
      </c>
      <c r="T23" s="105">
        <v>236547.00998</v>
      </c>
      <c r="U23" s="98">
        <f t="shared" si="3"/>
        <v>0</v>
      </c>
      <c r="V23" s="99"/>
      <c r="W23" s="100">
        <f t="shared" si="40"/>
        <v>1</v>
      </c>
      <c r="X23" s="101">
        <f t="shared" si="18"/>
        <v>1</v>
      </c>
      <c r="Y23" s="97">
        <f t="shared" si="19"/>
        <v>1762.9126200000001</v>
      </c>
      <c r="Z23" s="106"/>
      <c r="AA23" s="106">
        <v>1762.9126200000001</v>
      </c>
      <c r="AB23" s="106"/>
      <c r="AC23" s="106">
        <f t="shared" si="5"/>
        <v>509133.28152999998</v>
      </c>
      <c r="AD23" s="106">
        <f t="shared" si="5"/>
        <v>346752.1875</v>
      </c>
      <c r="AE23" s="106">
        <f t="shared" si="5"/>
        <v>97216</v>
      </c>
      <c r="AF23" s="106">
        <f t="shared" si="20"/>
        <v>65165.094029999978</v>
      </c>
      <c r="AG23" s="106">
        <f>AF23*10%</f>
        <v>6516.5094029999982</v>
      </c>
      <c r="AH23" s="106">
        <f t="shared" si="37"/>
        <v>8279.4220229999992</v>
      </c>
      <c r="AI23" s="107">
        <f t="shared" si="8"/>
        <v>0</v>
      </c>
      <c r="AJ23" s="108"/>
      <c r="AK23" s="109">
        <f t="shared" si="41"/>
        <v>1.5</v>
      </c>
      <c r="AL23" s="101">
        <f t="shared" si="9"/>
        <v>1.5</v>
      </c>
      <c r="AM23" s="110">
        <v>19179.204600000001</v>
      </c>
      <c r="AN23" s="100">
        <v>19855.387999999999</v>
      </c>
      <c r="AO23" s="111">
        <f t="shared" si="10"/>
        <v>0.96594458894482449</v>
      </c>
      <c r="AP23" s="108"/>
      <c r="AQ23" s="109">
        <f t="shared" si="42"/>
        <v>1</v>
      </c>
      <c r="AR23" s="112">
        <f t="shared" si="23"/>
        <v>1</v>
      </c>
      <c r="AS23" s="110">
        <v>43727.247000000003</v>
      </c>
      <c r="AT23" s="100">
        <v>45573.536</v>
      </c>
      <c r="AU23" s="107">
        <f t="shared" si="24"/>
        <v>0.95948769478848428</v>
      </c>
      <c r="AV23" s="108"/>
      <c r="AW23" s="109">
        <f t="shared" si="43"/>
        <v>1</v>
      </c>
      <c r="AX23" s="112">
        <f t="shared" si="11"/>
        <v>1</v>
      </c>
      <c r="AY23" s="91">
        <f t="shared" si="14"/>
        <v>6.5</v>
      </c>
      <c r="AZ23" s="113"/>
      <c r="BA23" s="93">
        <v>64413.599999999999</v>
      </c>
      <c r="BB23" s="8"/>
      <c r="BC23" s="94">
        <f t="shared" si="12"/>
        <v>0.7609377256622154</v>
      </c>
      <c r="BD23" s="8">
        <f t="shared" si="26"/>
        <v>0</v>
      </c>
      <c r="BE23" s="95">
        <f t="shared" si="27"/>
        <v>0</v>
      </c>
      <c r="BF23" s="95">
        <f t="shared" si="28"/>
        <v>0</v>
      </c>
      <c r="BG23" s="95">
        <f t="shared" si="29"/>
        <v>1</v>
      </c>
      <c r="BH23" s="8">
        <f t="shared" si="30"/>
        <v>0</v>
      </c>
      <c r="BJ23" s="94">
        <f t="shared" si="13"/>
        <v>0.59294842356120869</v>
      </c>
      <c r="BK23" s="8">
        <f t="shared" si="31"/>
        <v>0</v>
      </c>
      <c r="BL23" s="95">
        <f t="shared" si="32"/>
        <v>0</v>
      </c>
      <c r="BM23" s="95">
        <f t="shared" si="33"/>
        <v>0</v>
      </c>
      <c r="BN23" s="95">
        <f t="shared" si="34"/>
        <v>1</v>
      </c>
      <c r="BO23" s="8">
        <f t="shared" si="35"/>
        <v>0</v>
      </c>
    </row>
    <row r="24" spans="1:67" s="11" customFormat="1" x14ac:dyDescent="0.25">
      <c r="A24" s="96" t="s">
        <v>87</v>
      </c>
      <c r="B24" s="97">
        <v>0</v>
      </c>
      <c r="C24" s="97">
        <v>-1263.31195</v>
      </c>
      <c r="D24" s="97">
        <v>0</v>
      </c>
      <c r="E24" s="98">
        <f t="shared" si="15"/>
        <v>0</v>
      </c>
      <c r="F24" s="99"/>
      <c r="G24" s="100">
        <f t="shared" si="38"/>
        <v>1</v>
      </c>
      <c r="H24" s="101">
        <f t="shared" si="0"/>
        <v>1</v>
      </c>
      <c r="I24" s="97">
        <v>0</v>
      </c>
      <c r="J24" s="102">
        <v>264118.19605000003</v>
      </c>
      <c r="K24" s="103">
        <v>195674.51316</v>
      </c>
      <c r="L24" s="97">
        <v>40231</v>
      </c>
      <c r="M24" s="97">
        <v>0</v>
      </c>
      <c r="N24" s="98">
        <f t="shared" si="17"/>
        <v>0</v>
      </c>
      <c r="O24" s="99"/>
      <c r="P24" s="100">
        <f t="shared" si="39"/>
        <v>1</v>
      </c>
      <c r="Q24" s="101">
        <f t="shared" si="2"/>
        <v>1</v>
      </c>
      <c r="R24" s="104">
        <v>0</v>
      </c>
      <c r="S24" s="97">
        <v>262854.88409999997</v>
      </c>
      <c r="T24" s="105">
        <v>106791.26312999999</v>
      </c>
      <c r="U24" s="98">
        <f t="shared" si="3"/>
        <v>0</v>
      </c>
      <c r="V24" s="99"/>
      <c r="W24" s="100">
        <f t="shared" si="40"/>
        <v>1</v>
      </c>
      <c r="X24" s="101">
        <f t="shared" si="18"/>
        <v>1</v>
      </c>
      <c r="Y24" s="97">
        <f t="shared" si="19"/>
        <v>-1263.31195</v>
      </c>
      <c r="Z24" s="106"/>
      <c r="AA24" s="106">
        <v>-1263.31195</v>
      </c>
      <c r="AB24" s="106"/>
      <c r="AC24" s="106">
        <f t="shared" si="5"/>
        <v>264118.19605000003</v>
      </c>
      <c r="AD24" s="106">
        <f t="shared" si="5"/>
        <v>195674.51316</v>
      </c>
      <c r="AE24" s="106">
        <f t="shared" si="5"/>
        <v>40231</v>
      </c>
      <c r="AF24" s="106">
        <f t="shared" si="20"/>
        <v>28212.682890000026</v>
      </c>
      <c r="AG24" s="106">
        <f t="shared" ref="AG24:AG32" si="44">AF24*5%</f>
        <v>1410.6341445000014</v>
      </c>
      <c r="AH24" s="106">
        <f t="shared" si="37"/>
        <v>1410.6341445000014</v>
      </c>
      <c r="AI24" s="107">
        <f t="shared" si="8"/>
        <v>0</v>
      </c>
      <c r="AJ24" s="108"/>
      <c r="AK24" s="109">
        <f t="shared" si="41"/>
        <v>1.5</v>
      </c>
      <c r="AL24" s="101">
        <f t="shared" si="9"/>
        <v>1.5</v>
      </c>
      <c r="AM24" s="110">
        <v>11760.987429999999</v>
      </c>
      <c r="AN24" s="100">
        <v>13941.974</v>
      </c>
      <c r="AO24" s="111">
        <f t="shared" si="10"/>
        <v>0.84356687438952327</v>
      </c>
      <c r="AP24" s="108"/>
      <c r="AQ24" s="109">
        <f t="shared" si="42"/>
        <v>1</v>
      </c>
      <c r="AR24" s="112">
        <f>AP24+AQ24</f>
        <v>1</v>
      </c>
      <c r="AS24" s="110">
        <v>29645.647389999998</v>
      </c>
      <c r="AT24" s="100">
        <v>34602.1</v>
      </c>
      <c r="AU24" s="107">
        <f t="shared" si="24"/>
        <v>0.8567586184075533</v>
      </c>
      <c r="AV24" s="108"/>
      <c r="AW24" s="109">
        <f t="shared" si="43"/>
        <v>1</v>
      </c>
      <c r="AX24" s="112">
        <f t="shared" si="11"/>
        <v>1</v>
      </c>
      <c r="AY24" s="91">
        <f t="shared" si="14"/>
        <v>6.5</v>
      </c>
      <c r="AZ24" s="117"/>
      <c r="BA24" s="93">
        <v>66357.5</v>
      </c>
      <c r="BB24" s="8"/>
      <c r="BC24" s="94">
        <f t="shared" si="12"/>
        <v>0.82067480522012048</v>
      </c>
      <c r="BD24" s="8">
        <f t="shared" si="26"/>
        <v>0</v>
      </c>
      <c r="BE24" s="95">
        <f t="shared" si="27"/>
        <v>0</v>
      </c>
      <c r="BF24" s="95">
        <f t="shared" si="28"/>
        <v>0</v>
      </c>
      <c r="BG24" s="95">
        <f t="shared" si="29"/>
        <v>1</v>
      </c>
      <c r="BH24" s="8">
        <f t="shared" si="30"/>
        <v>0</v>
      </c>
      <c r="BJ24" s="94">
        <f t="shared" si="13"/>
        <v>0.67749684063439863</v>
      </c>
      <c r="BK24" s="8">
        <f t="shared" si="31"/>
        <v>0</v>
      </c>
      <c r="BL24" s="95">
        <f t="shared" si="32"/>
        <v>0</v>
      </c>
      <c r="BM24" s="95">
        <f t="shared" si="33"/>
        <v>0</v>
      </c>
      <c r="BN24" s="95">
        <f t="shared" si="34"/>
        <v>1</v>
      </c>
      <c r="BO24" s="8">
        <f t="shared" si="35"/>
        <v>0</v>
      </c>
    </row>
    <row r="25" spans="1:67" s="11" customFormat="1" x14ac:dyDescent="0.25">
      <c r="A25" s="96" t="s">
        <v>88</v>
      </c>
      <c r="B25" s="97">
        <v>0</v>
      </c>
      <c r="C25" s="97">
        <v>1770.1096399999999</v>
      </c>
      <c r="D25" s="97">
        <v>1075</v>
      </c>
      <c r="E25" s="98">
        <f t="shared" si="15"/>
        <v>0</v>
      </c>
      <c r="F25" s="99"/>
      <c r="G25" s="100">
        <f t="shared" si="38"/>
        <v>1</v>
      </c>
      <c r="H25" s="101">
        <f t="shared" si="0"/>
        <v>1</v>
      </c>
      <c r="I25" s="97">
        <v>0</v>
      </c>
      <c r="J25" s="102">
        <v>525062.45964999998</v>
      </c>
      <c r="K25" s="103">
        <v>378556.50764999999</v>
      </c>
      <c r="L25" s="97">
        <v>98322</v>
      </c>
      <c r="M25" s="97">
        <v>0</v>
      </c>
      <c r="N25" s="98">
        <f t="shared" si="17"/>
        <v>0</v>
      </c>
      <c r="O25" s="99"/>
      <c r="P25" s="100">
        <f t="shared" si="39"/>
        <v>1</v>
      </c>
      <c r="Q25" s="101">
        <f>O25+P25</f>
        <v>1</v>
      </c>
      <c r="R25" s="104">
        <v>27.915279999999999</v>
      </c>
      <c r="S25" s="97">
        <v>526832.56929000001</v>
      </c>
      <c r="T25" s="105">
        <v>226606.16865000001</v>
      </c>
      <c r="U25" s="98">
        <f t="shared" si="3"/>
        <v>9.2980763652004988E-5</v>
      </c>
      <c r="V25" s="99"/>
      <c r="W25" s="100">
        <f t="shared" si="40"/>
        <v>1</v>
      </c>
      <c r="X25" s="101">
        <f t="shared" si="18"/>
        <v>1</v>
      </c>
      <c r="Y25" s="97">
        <f t="shared" si="19"/>
        <v>1770.1096399999999</v>
      </c>
      <c r="Z25" s="106"/>
      <c r="AA25" s="106">
        <v>2845.1096400000001</v>
      </c>
      <c r="AB25" s="106"/>
      <c r="AC25" s="106">
        <f t="shared" si="5"/>
        <v>525062.45964999998</v>
      </c>
      <c r="AD25" s="106">
        <f t="shared" si="5"/>
        <v>378556.50764999999</v>
      </c>
      <c r="AE25" s="106">
        <f t="shared" si="5"/>
        <v>98322</v>
      </c>
      <c r="AF25" s="106">
        <f t="shared" si="20"/>
        <v>48183.95199999999</v>
      </c>
      <c r="AG25" s="106">
        <f>AF25*10%</f>
        <v>4818.395199999999</v>
      </c>
      <c r="AH25" s="106">
        <f t="shared" si="37"/>
        <v>7663.5048399999996</v>
      </c>
      <c r="AI25" s="107">
        <f t="shared" si="8"/>
        <v>0</v>
      </c>
      <c r="AJ25" s="108"/>
      <c r="AK25" s="109">
        <f t="shared" si="41"/>
        <v>1.5</v>
      </c>
      <c r="AL25" s="101">
        <f t="shared" si="9"/>
        <v>1.5</v>
      </c>
      <c r="AM25" s="110">
        <v>15691.69887</v>
      </c>
      <c r="AN25" s="100">
        <v>16476.592000000001</v>
      </c>
      <c r="AO25" s="111">
        <f t="shared" si="10"/>
        <v>0.95236313856651911</v>
      </c>
      <c r="AP25" s="108"/>
      <c r="AQ25" s="109">
        <f t="shared" si="42"/>
        <v>1</v>
      </c>
      <c r="AR25" s="112">
        <f t="shared" si="23"/>
        <v>1</v>
      </c>
      <c r="AS25" s="110">
        <v>33456.197959999998</v>
      </c>
      <c r="AT25" s="100">
        <v>39255.114000000001</v>
      </c>
      <c r="AU25" s="107">
        <f t="shared" si="24"/>
        <v>0.85227616355922431</v>
      </c>
      <c r="AV25" s="108"/>
      <c r="AW25" s="109">
        <f t="shared" si="43"/>
        <v>1</v>
      </c>
      <c r="AX25" s="112">
        <f t="shared" si="11"/>
        <v>1</v>
      </c>
      <c r="AY25" s="91">
        <f t="shared" si="14"/>
        <v>6.5</v>
      </c>
      <c r="AZ25" s="113"/>
      <c r="BA25" s="93">
        <v>69242.100000000006</v>
      </c>
      <c r="BB25" s="8"/>
      <c r="BC25" s="94">
        <f t="shared" si="12"/>
        <v>0.83855608525269787</v>
      </c>
      <c r="BD25" s="8">
        <f t="shared" si="26"/>
        <v>0</v>
      </c>
      <c r="BE25" s="95">
        <f t="shared" si="27"/>
        <v>0</v>
      </c>
      <c r="BF25" s="95">
        <f t="shared" si="28"/>
        <v>0</v>
      </c>
      <c r="BG25" s="95">
        <f t="shared" si="29"/>
        <v>1</v>
      </c>
      <c r="BH25" s="8">
        <f t="shared" si="30"/>
        <v>0</v>
      </c>
      <c r="BJ25" s="94">
        <f t="shared" si="13"/>
        <v>0.56143597924695787</v>
      </c>
      <c r="BK25" s="8">
        <f t="shared" si="31"/>
        <v>0</v>
      </c>
      <c r="BL25" s="95">
        <f t="shared" si="32"/>
        <v>0</v>
      </c>
      <c r="BM25" s="95">
        <f t="shared" si="33"/>
        <v>0</v>
      </c>
      <c r="BN25" s="95">
        <f t="shared" si="34"/>
        <v>1</v>
      </c>
      <c r="BO25" s="8">
        <f t="shared" si="35"/>
        <v>0</v>
      </c>
    </row>
    <row r="26" spans="1:67" s="11" customFormat="1" x14ac:dyDescent="0.25">
      <c r="A26" s="96" t="s">
        <v>89</v>
      </c>
      <c r="B26" s="97">
        <v>0</v>
      </c>
      <c r="C26" s="97">
        <v>-40.653739999999999</v>
      </c>
      <c r="D26" s="97">
        <v>0</v>
      </c>
      <c r="E26" s="98">
        <f t="shared" si="15"/>
        <v>0</v>
      </c>
      <c r="F26" s="99"/>
      <c r="G26" s="100">
        <f t="shared" si="38"/>
        <v>1</v>
      </c>
      <c r="H26" s="101">
        <f t="shared" si="0"/>
        <v>1</v>
      </c>
      <c r="I26" s="97">
        <v>0</v>
      </c>
      <c r="J26" s="102">
        <v>342632.62280000001</v>
      </c>
      <c r="K26" s="103">
        <v>246657.62841999999</v>
      </c>
      <c r="L26" s="97">
        <v>53947</v>
      </c>
      <c r="M26" s="97">
        <v>0</v>
      </c>
      <c r="N26" s="98">
        <f t="shared" si="17"/>
        <v>0</v>
      </c>
      <c r="O26" s="99"/>
      <c r="P26" s="100">
        <f t="shared" si="39"/>
        <v>1</v>
      </c>
      <c r="Q26" s="101">
        <f t="shared" si="2"/>
        <v>1</v>
      </c>
      <c r="R26" s="104">
        <v>0</v>
      </c>
      <c r="S26" s="97">
        <v>342591.96905999997</v>
      </c>
      <c r="T26" s="105">
        <v>163605.14237000002</v>
      </c>
      <c r="U26" s="98">
        <f t="shared" si="3"/>
        <v>0</v>
      </c>
      <c r="V26" s="99"/>
      <c r="W26" s="100">
        <f t="shared" si="40"/>
        <v>1</v>
      </c>
      <c r="X26" s="101">
        <f t="shared" si="18"/>
        <v>1</v>
      </c>
      <c r="Y26" s="97">
        <f t="shared" si="19"/>
        <v>-40.653739999999999</v>
      </c>
      <c r="Z26" s="106"/>
      <c r="AA26" s="106">
        <v>-40.653739999999999</v>
      </c>
      <c r="AB26" s="106"/>
      <c r="AC26" s="106">
        <f t="shared" si="5"/>
        <v>342632.62280000001</v>
      </c>
      <c r="AD26" s="106">
        <f t="shared" si="5"/>
        <v>246657.62841999999</v>
      </c>
      <c r="AE26" s="106">
        <f t="shared" si="5"/>
        <v>53947</v>
      </c>
      <c r="AF26" s="106">
        <f t="shared" si="20"/>
        <v>42027.994380000018</v>
      </c>
      <c r="AG26" s="106">
        <f t="shared" si="44"/>
        <v>2101.3997190000009</v>
      </c>
      <c r="AH26" s="106">
        <f t="shared" si="37"/>
        <v>2101.3997190000009</v>
      </c>
      <c r="AI26" s="107">
        <f t="shared" si="8"/>
        <v>0</v>
      </c>
      <c r="AJ26" s="99"/>
      <c r="AK26" s="109">
        <f t="shared" si="41"/>
        <v>1.5</v>
      </c>
      <c r="AL26" s="101">
        <f t="shared" si="9"/>
        <v>1.5</v>
      </c>
      <c r="AM26" s="110">
        <v>12057.09319</v>
      </c>
      <c r="AN26" s="100">
        <v>12949.924000000001</v>
      </c>
      <c r="AO26" s="111">
        <f t="shared" si="10"/>
        <v>0.93105513128880124</v>
      </c>
      <c r="AP26" s="99"/>
      <c r="AQ26" s="109">
        <f t="shared" si="42"/>
        <v>1</v>
      </c>
      <c r="AR26" s="112">
        <f t="shared" si="23"/>
        <v>1</v>
      </c>
      <c r="AS26" s="110">
        <v>28879.691299999999</v>
      </c>
      <c r="AT26" s="100">
        <v>30692.789000000001</v>
      </c>
      <c r="AU26" s="107">
        <f t="shared" si="24"/>
        <v>0.94092756770979658</v>
      </c>
      <c r="AV26" s="99"/>
      <c r="AW26" s="109">
        <f t="shared" si="43"/>
        <v>1</v>
      </c>
      <c r="AX26" s="112">
        <f t="shared" si="11"/>
        <v>1</v>
      </c>
      <c r="AY26" s="91">
        <f t="shared" si="14"/>
        <v>6.5</v>
      </c>
      <c r="AZ26" s="113"/>
      <c r="BA26" s="93">
        <v>60533.9</v>
      </c>
      <c r="BB26" s="8"/>
      <c r="BC26" s="94">
        <f t="shared" si="12"/>
        <v>0.76524277569536003</v>
      </c>
      <c r="BD26" s="8">
        <f t="shared" si="26"/>
        <v>0</v>
      </c>
      <c r="BE26" s="95">
        <f t="shared" si="27"/>
        <v>0</v>
      </c>
      <c r="BF26" s="95">
        <f t="shared" si="28"/>
        <v>0</v>
      </c>
      <c r="BG26" s="95">
        <f t="shared" si="29"/>
        <v>1</v>
      </c>
      <c r="BH26" s="8">
        <f t="shared" si="30"/>
        <v>0</v>
      </c>
      <c r="BJ26" s="94">
        <f t="shared" si="13"/>
        <v>0.639459929419954</v>
      </c>
      <c r="BK26" s="8">
        <f t="shared" si="31"/>
        <v>0</v>
      </c>
      <c r="BL26" s="95">
        <f t="shared" si="32"/>
        <v>0</v>
      </c>
      <c r="BM26" s="95">
        <f t="shared" si="33"/>
        <v>0</v>
      </c>
      <c r="BN26" s="95">
        <f t="shared" si="34"/>
        <v>1</v>
      </c>
      <c r="BO26" s="8">
        <f t="shared" si="35"/>
        <v>0</v>
      </c>
    </row>
    <row r="27" spans="1:67" s="11" customFormat="1" x14ac:dyDescent="0.25">
      <c r="A27" s="96" t="s">
        <v>90</v>
      </c>
      <c r="B27" s="97">
        <v>0</v>
      </c>
      <c r="C27" s="97">
        <v>808.92070999999999</v>
      </c>
      <c r="D27" s="97">
        <v>0</v>
      </c>
      <c r="E27" s="98">
        <f t="shared" si="15"/>
        <v>0</v>
      </c>
      <c r="F27" s="99"/>
      <c r="G27" s="100">
        <f t="shared" si="38"/>
        <v>1</v>
      </c>
      <c r="H27" s="101">
        <f t="shared" si="0"/>
        <v>1</v>
      </c>
      <c r="I27" s="97">
        <v>0</v>
      </c>
      <c r="J27" s="102">
        <v>307211.16437000001</v>
      </c>
      <c r="K27" s="103">
        <v>212257.59671000001</v>
      </c>
      <c r="L27" s="97">
        <v>59176</v>
      </c>
      <c r="M27" s="97">
        <v>0</v>
      </c>
      <c r="N27" s="98">
        <f t="shared" si="17"/>
        <v>0</v>
      </c>
      <c r="O27" s="99"/>
      <c r="P27" s="100">
        <f t="shared" si="39"/>
        <v>1</v>
      </c>
      <c r="Q27" s="101">
        <f t="shared" si="2"/>
        <v>1</v>
      </c>
      <c r="R27" s="104">
        <v>0</v>
      </c>
      <c r="S27" s="97">
        <v>308020.08507999999</v>
      </c>
      <c r="T27" s="105">
        <v>127312.57011</v>
      </c>
      <c r="U27" s="98">
        <f t="shared" si="3"/>
        <v>0</v>
      </c>
      <c r="V27" s="99"/>
      <c r="W27" s="100">
        <f t="shared" si="40"/>
        <v>1</v>
      </c>
      <c r="X27" s="101">
        <f t="shared" si="18"/>
        <v>1</v>
      </c>
      <c r="Y27" s="97">
        <f t="shared" si="19"/>
        <v>808.92070999999999</v>
      </c>
      <c r="Z27" s="106"/>
      <c r="AA27" s="106">
        <v>808.92070999999999</v>
      </c>
      <c r="AB27" s="106"/>
      <c r="AC27" s="106">
        <f t="shared" si="5"/>
        <v>307211.16437000001</v>
      </c>
      <c r="AD27" s="106">
        <f t="shared" si="5"/>
        <v>212257.59671000001</v>
      </c>
      <c r="AE27" s="106">
        <f t="shared" si="5"/>
        <v>59176</v>
      </c>
      <c r="AF27" s="106">
        <f t="shared" si="20"/>
        <v>35777.567660000001</v>
      </c>
      <c r="AG27" s="106">
        <f t="shared" si="44"/>
        <v>1788.8783830000002</v>
      </c>
      <c r="AH27" s="106">
        <f t="shared" si="37"/>
        <v>2597.7990930000001</v>
      </c>
      <c r="AI27" s="107">
        <f t="shared" si="8"/>
        <v>0</v>
      </c>
      <c r="AJ27" s="99"/>
      <c r="AK27" s="109">
        <f t="shared" si="41"/>
        <v>1.5</v>
      </c>
      <c r="AL27" s="101">
        <f t="shared" si="9"/>
        <v>1.5</v>
      </c>
      <c r="AM27" s="110">
        <v>11764.04077</v>
      </c>
      <c r="AN27" s="100">
        <v>13941.974</v>
      </c>
      <c r="AO27" s="111">
        <f t="shared" si="10"/>
        <v>0.84378587781041614</v>
      </c>
      <c r="AP27" s="99"/>
      <c r="AQ27" s="109">
        <f t="shared" si="42"/>
        <v>1</v>
      </c>
      <c r="AR27" s="112">
        <f t="shared" si="23"/>
        <v>1</v>
      </c>
      <c r="AS27" s="110">
        <v>28133.84058</v>
      </c>
      <c r="AT27" s="100">
        <v>34602.1</v>
      </c>
      <c r="AU27" s="107">
        <f t="shared" si="24"/>
        <v>0.81306743174547214</v>
      </c>
      <c r="AV27" s="99"/>
      <c r="AW27" s="109">
        <f t="shared" si="43"/>
        <v>1</v>
      </c>
      <c r="AX27" s="112">
        <f t="shared" si="11"/>
        <v>1</v>
      </c>
      <c r="AY27" s="91">
        <f t="shared" si="14"/>
        <v>6.5</v>
      </c>
      <c r="AZ27" s="113"/>
      <c r="BA27" s="93">
        <v>54154.8</v>
      </c>
      <c r="BB27" s="8"/>
      <c r="BC27" s="94">
        <f t="shared" si="12"/>
        <v>0.80112369522858995</v>
      </c>
      <c r="BD27" s="8">
        <f t="shared" si="26"/>
        <v>0</v>
      </c>
      <c r="BE27" s="95">
        <f t="shared" si="27"/>
        <v>0</v>
      </c>
      <c r="BF27" s="95">
        <f t="shared" si="28"/>
        <v>0</v>
      </c>
      <c r="BG27" s="95">
        <f t="shared" si="29"/>
        <v>1</v>
      </c>
      <c r="BH27" s="8">
        <f t="shared" si="30"/>
        <v>0</v>
      </c>
      <c r="BJ27" s="94">
        <f t="shared" si="13"/>
        <v>0.62997045900318527</v>
      </c>
      <c r="BK27" s="8">
        <f t="shared" si="31"/>
        <v>0</v>
      </c>
      <c r="BL27" s="95">
        <f t="shared" si="32"/>
        <v>0</v>
      </c>
      <c r="BM27" s="95">
        <f t="shared" si="33"/>
        <v>0</v>
      </c>
      <c r="BN27" s="95">
        <f t="shared" si="34"/>
        <v>1</v>
      </c>
      <c r="BO27" s="8">
        <f t="shared" si="35"/>
        <v>0</v>
      </c>
    </row>
    <row r="28" spans="1:67" s="11" customFormat="1" x14ac:dyDescent="0.25">
      <c r="A28" s="96" t="s">
        <v>91</v>
      </c>
      <c r="B28" s="97">
        <v>0</v>
      </c>
      <c r="C28" s="97">
        <v>-951.90111000000002</v>
      </c>
      <c r="D28" s="97">
        <v>0</v>
      </c>
      <c r="E28" s="98">
        <f t="shared" si="15"/>
        <v>0</v>
      </c>
      <c r="F28" s="99"/>
      <c r="G28" s="100">
        <f t="shared" si="38"/>
        <v>1</v>
      </c>
      <c r="H28" s="101">
        <f t="shared" si="0"/>
        <v>1</v>
      </c>
      <c r="I28" s="97">
        <v>0</v>
      </c>
      <c r="J28" s="102">
        <v>256484.84766</v>
      </c>
      <c r="K28" s="103">
        <v>205083.55843</v>
      </c>
      <c r="L28" s="97">
        <v>27997</v>
      </c>
      <c r="M28" s="97">
        <v>0</v>
      </c>
      <c r="N28" s="98">
        <f t="shared" si="17"/>
        <v>0</v>
      </c>
      <c r="O28" s="99"/>
      <c r="P28" s="100">
        <f t="shared" si="39"/>
        <v>1</v>
      </c>
      <c r="Q28" s="101">
        <f t="shared" si="2"/>
        <v>1</v>
      </c>
      <c r="R28" s="104">
        <v>0</v>
      </c>
      <c r="S28" s="97">
        <v>255532.94655000002</v>
      </c>
      <c r="T28" s="105">
        <v>122869.10506999999</v>
      </c>
      <c r="U28" s="98">
        <f t="shared" si="3"/>
        <v>0</v>
      </c>
      <c r="V28" s="99"/>
      <c r="W28" s="100">
        <f t="shared" si="40"/>
        <v>1</v>
      </c>
      <c r="X28" s="101">
        <f t="shared" si="18"/>
        <v>1</v>
      </c>
      <c r="Y28" s="97">
        <f t="shared" si="19"/>
        <v>-951.90111000000002</v>
      </c>
      <c r="Z28" s="106"/>
      <c r="AA28" s="106">
        <v>-951.90111000000002</v>
      </c>
      <c r="AB28" s="106"/>
      <c r="AC28" s="106">
        <f t="shared" si="5"/>
        <v>256484.84766</v>
      </c>
      <c r="AD28" s="106">
        <f t="shared" si="5"/>
        <v>205083.55843</v>
      </c>
      <c r="AE28" s="106">
        <f t="shared" si="5"/>
        <v>27997</v>
      </c>
      <c r="AF28" s="106">
        <f t="shared" si="20"/>
        <v>23404.289229999995</v>
      </c>
      <c r="AG28" s="106">
        <f t="shared" si="44"/>
        <v>1170.2144614999997</v>
      </c>
      <c r="AH28" s="106">
        <f t="shared" si="37"/>
        <v>1170.2144614999997</v>
      </c>
      <c r="AI28" s="107">
        <f t="shared" si="8"/>
        <v>0</v>
      </c>
      <c r="AJ28" s="99"/>
      <c r="AK28" s="109">
        <f t="shared" si="41"/>
        <v>1.5</v>
      </c>
      <c r="AL28" s="101">
        <f t="shared" si="9"/>
        <v>1.5</v>
      </c>
      <c r="AM28" s="110">
        <v>11675.79075</v>
      </c>
      <c r="AN28" s="100">
        <v>12455.677</v>
      </c>
      <c r="AO28" s="111">
        <f t="shared" si="10"/>
        <v>0.93738708462012943</v>
      </c>
      <c r="AP28" s="99"/>
      <c r="AQ28" s="109">
        <f t="shared" si="42"/>
        <v>1</v>
      </c>
      <c r="AR28" s="112">
        <f t="shared" si="23"/>
        <v>1</v>
      </c>
      <c r="AS28" s="110">
        <v>28665.677530000001</v>
      </c>
      <c r="AT28" s="100">
        <v>31240.518</v>
      </c>
      <c r="AU28" s="107">
        <f t="shared" si="24"/>
        <v>0.91758009678328645</v>
      </c>
      <c r="AV28" s="99"/>
      <c r="AW28" s="109">
        <f t="shared" si="43"/>
        <v>1</v>
      </c>
      <c r="AX28" s="112">
        <f t="shared" si="11"/>
        <v>1</v>
      </c>
      <c r="AY28" s="91">
        <f t="shared" si="14"/>
        <v>6.5</v>
      </c>
      <c r="AZ28" s="113"/>
      <c r="BA28" s="93">
        <v>57436.800000000003</v>
      </c>
      <c r="BB28" s="8"/>
      <c r="BC28" s="94">
        <f t="shared" si="12"/>
        <v>0.82483883428454929</v>
      </c>
      <c r="BD28" s="8">
        <f t="shared" si="26"/>
        <v>0</v>
      </c>
      <c r="BE28" s="95">
        <f t="shared" si="27"/>
        <v>0</v>
      </c>
      <c r="BF28" s="95">
        <f t="shared" si="28"/>
        <v>0</v>
      </c>
      <c r="BG28" s="95">
        <f t="shared" si="29"/>
        <v>1</v>
      </c>
      <c r="BH28" s="8">
        <f t="shared" si="30"/>
        <v>0</v>
      </c>
      <c r="BJ28" s="94">
        <f t="shared" si="13"/>
        <v>0.6393992080869817</v>
      </c>
      <c r="BK28" s="8">
        <f t="shared" si="31"/>
        <v>0</v>
      </c>
      <c r="BL28" s="95">
        <f t="shared" si="32"/>
        <v>0</v>
      </c>
      <c r="BM28" s="95">
        <f t="shared" si="33"/>
        <v>0</v>
      </c>
      <c r="BN28" s="95">
        <f t="shared" si="34"/>
        <v>1</v>
      </c>
      <c r="BO28" s="8">
        <f t="shared" si="35"/>
        <v>0</v>
      </c>
    </row>
    <row r="29" spans="1:67" s="11" customFormat="1" x14ac:dyDescent="0.25">
      <c r="A29" s="96" t="s">
        <v>92</v>
      </c>
      <c r="B29" s="97">
        <v>0</v>
      </c>
      <c r="C29" s="97">
        <v>-4404.0723899999994</v>
      </c>
      <c r="D29" s="97">
        <v>0</v>
      </c>
      <c r="E29" s="98">
        <f t="shared" si="15"/>
        <v>0</v>
      </c>
      <c r="F29" s="99"/>
      <c r="G29" s="100">
        <f t="shared" si="38"/>
        <v>1</v>
      </c>
      <c r="H29" s="101">
        <f t="shared" si="0"/>
        <v>1</v>
      </c>
      <c r="I29" s="97">
        <v>0</v>
      </c>
      <c r="J29" s="102">
        <v>292811.01191</v>
      </c>
      <c r="K29" s="103">
        <v>212404.49658000001</v>
      </c>
      <c r="L29" s="97">
        <v>44055</v>
      </c>
      <c r="M29" s="97">
        <v>0</v>
      </c>
      <c r="N29" s="98">
        <f t="shared" si="17"/>
        <v>0</v>
      </c>
      <c r="O29" s="99"/>
      <c r="P29" s="100">
        <f t="shared" si="39"/>
        <v>1</v>
      </c>
      <c r="Q29" s="101">
        <f t="shared" si="2"/>
        <v>1</v>
      </c>
      <c r="R29" s="104">
        <v>0</v>
      </c>
      <c r="S29" s="97">
        <v>288406.93951999996</v>
      </c>
      <c r="T29" s="105">
        <v>115902.60511</v>
      </c>
      <c r="U29" s="98">
        <f t="shared" si="3"/>
        <v>0</v>
      </c>
      <c r="V29" s="99"/>
      <c r="W29" s="100">
        <f t="shared" si="40"/>
        <v>1</v>
      </c>
      <c r="X29" s="101">
        <f t="shared" si="18"/>
        <v>1</v>
      </c>
      <c r="Y29" s="97">
        <f t="shared" si="19"/>
        <v>-4404.0723899999994</v>
      </c>
      <c r="Z29" s="106"/>
      <c r="AA29" s="106">
        <v>-4404.0723899999994</v>
      </c>
      <c r="AB29" s="106"/>
      <c r="AC29" s="106">
        <f t="shared" si="5"/>
        <v>292811.01191</v>
      </c>
      <c r="AD29" s="106">
        <f t="shared" si="5"/>
        <v>212404.49658000001</v>
      </c>
      <c r="AE29" s="106">
        <f t="shared" si="5"/>
        <v>44055</v>
      </c>
      <c r="AF29" s="106">
        <f t="shared" si="20"/>
        <v>36351.515329999995</v>
      </c>
      <c r="AG29" s="106">
        <f t="shared" si="44"/>
        <v>1817.5757664999999</v>
      </c>
      <c r="AH29" s="106">
        <f t="shared" si="37"/>
        <v>1817.5757664999999</v>
      </c>
      <c r="AI29" s="107">
        <f t="shared" si="8"/>
        <v>0</v>
      </c>
      <c r="AJ29" s="99"/>
      <c r="AK29" s="109">
        <f t="shared" si="41"/>
        <v>1.5</v>
      </c>
      <c r="AL29" s="101">
        <f t="shared" si="9"/>
        <v>1.5</v>
      </c>
      <c r="AM29" s="110">
        <v>12752.879370000001</v>
      </c>
      <c r="AN29" s="100">
        <v>13941.974</v>
      </c>
      <c r="AO29" s="111">
        <f t="shared" si="10"/>
        <v>0.91471117145965131</v>
      </c>
      <c r="AP29" s="99"/>
      <c r="AQ29" s="109">
        <f t="shared" si="42"/>
        <v>1</v>
      </c>
      <c r="AR29" s="112">
        <f t="shared" si="23"/>
        <v>1</v>
      </c>
      <c r="AS29" s="110">
        <v>30965.008999999998</v>
      </c>
      <c r="AT29" s="100">
        <v>34602.1</v>
      </c>
      <c r="AU29" s="107">
        <f t="shared" si="24"/>
        <v>0.89488814262718153</v>
      </c>
      <c r="AV29" s="99"/>
      <c r="AW29" s="109">
        <f t="shared" si="43"/>
        <v>1</v>
      </c>
      <c r="AX29" s="112">
        <f t="shared" si="11"/>
        <v>1</v>
      </c>
      <c r="AY29" s="91">
        <f t="shared" si="14"/>
        <v>6.5</v>
      </c>
      <c r="AZ29" s="113"/>
      <c r="BA29" s="93">
        <v>69210.600000000006</v>
      </c>
      <c r="BB29" s="8"/>
      <c r="BC29" s="94">
        <f t="shared" si="12"/>
        <v>0.79451787516747907</v>
      </c>
      <c r="BD29" s="8">
        <f t="shared" si="26"/>
        <v>0</v>
      </c>
      <c r="BE29" s="95">
        <f t="shared" si="27"/>
        <v>0</v>
      </c>
      <c r="BF29" s="95">
        <f t="shared" si="28"/>
        <v>0</v>
      </c>
      <c r="BG29" s="95">
        <f t="shared" si="29"/>
        <v>1</v>
      </c>
      <c r="BH29" s="8">
        <f t="shared" si="30"/>
        <v>0</v>
      </c>
      <c r="BJ29" s="94">
        <f t="shared" si="13"/>
        <v>0.64024995786689776</v>
      </c>
      <c r="BK29" s="8">
        <f t="shared" si="31"/>
        <v>0</v>
      </c>
      <c r="BL29" s="95">
        <f t="shared" si="32"/>
        <v>0</v>
      </c>
      <c r="BM29" s="95">
        <f t="shared" si="33"/>
        <v>0</v>
      </c>
      <c r="BN29" s="95">
        <f t="shared" si="34"/>
        <v>1</v>
      </c>
      <c r="BO29" s="8">
        <f t="shared" si="35"/>
        <v>0</v>
      </c>
    </row>
    <row r="30" spans="1:67" s="11" customFormat="1" x14ac:dyDescent="0.25">
      <c r="A30" s="96" t="s">
        <v>93</v>
      </c>
      <c r="B30" s="97">
        <v>0</v>
      </c>
      <c r="C30" s="97">
        <v>-23347.972140000002</v>
      </c>
      <c r="D30" s="97">
        <v>0</v>
      </c>
      <c r="E30" s="98">
        <f t="shared" si="15"/>
        <v>0</v>
      </c>
      <c r="F30" s="99"/>
      <c r="G30" s="100">
        <f t="shared" si="38"/>
        <v>1</v>
      </c>
      <c r="H30" s="101">
        <f t="shared" si="0"/>
        <v>1</v>
      </c>
      <c r="I30" s="97">
        <v>0</v>
      </c>
      <c r="J30" s="102">
        <v>415080.17745999998</v>
      </c>
      <c r="K30" s="103">
        <v>293589.99252999999</v>
      </c>
      <c r="L30" s="97">
        <v>73656</v>
      </c>
      <c r="M30" s="97">
        <v>0</v>
      </c>
      <c r="N30" s="98">
        <f t="shared" si="17"/>
        <v>0</v>
      </c>
      <c r="O30" s="99"/>
      <c r="P30" s="100">
        <f>IF(N30&lt;=0.5,1,0)</f>
        <v>1</v>
      </c>
      <c r="Q30" s="101">
        <f>O30+P30</f>
        <v>1</v>
      </c>
      <c r="R30" s="104">
        <v>0</v>
      </c>
      <c r="S30" s="97">
        <v>391732.20532000001</v>
      </c>
      <c r="T30" s="105">
        <v>181194.25115999999</v>
      </c>
      <c r="U30" s="98">
        <f t="shared" si="3"/>
        <v>0</v>
      </c>
      <c r="V30" s="99"/>
      <c r="W30" s="100">
        <f t="shared" si="40"/>
        <v>1</v>
      </c>
      <c r="X30" s="101">
        <f t="shared" si="18"/>
        <v>1</v>
      </c>
      <c r="Y30" s="97">
        <f t="shared" si="19"/>
        <v>-23347.972140000002</v>
      </c>
      <c r="Z30" s="106"/>
      <c r="AA30" s="106">
        <v>-23347.972140000002</v>
      </c>
      <c r="AB30" s="106"/>
      <c r="AC30" s="106">
        <f t="shared" si="5"/>
        <v>415080.17745999998</v>
      </c>
      <c r="AD30" s="106">
        <f t="shared" si="5"/>
        <v>293589.99252999999</v>
      </c>
      <c r="AE30" s="106">
        <f t="shared" si="5"/>
        <v>73656</v>
      </c>
      <c r="AF30" s="106">
        <f t="shared" si="20"/>
        <v>47834.184929999989</v>
      </c>
      <c r="AG30" s="106">
        <f>AF30*10%</f>
        <v>4783.4184929999992</v>
      </c>
      <c r="AH30" s="106">
        <f t="shared" si="37"/>
        <v>4783.4184929999992</v>
      </c>
      <c r="AI30" s="107">
        <f t="shared" si="8"/>
        <v>0</v>
      </c>
      <c r="AJ30" s="108"/>
      <c r="AK30" s="109">
        <f t="shared" si="41"/>
        <v>1.5</v>
      </c>
      <c r="AL30" s="101">
        <f t="shared" si="9"/>
        <v>1.5</v>
      </c>
      <c r="AM30" s="110">
        <v>15220.537340000001</v>
      </c>
      <c r="AN30" s="100">
        <v>16476.592000000001</v>
      </c>
      <c r="AO30" s="111">
        <f t="shared" si="10"/>
        <v>0.92376732639856596</v>
      </c>
      <c r="AP30" s="108"/>
      <c r="AQ30" s="109">
        <f t="shared" si="42"/>
        <v>1</v>
      </c>
      <c r="AR30" s="112">
        <f t="shared" si="23"/>
        <v>1</v>
      </c>
      <c r="AS30" s="110">
        <v>35099.764000000003</v>
      </c>
      <c r="AT30" s="100">
        <v>39255.114000000001</v>
      </c>
      <c r="AU30" s="107">
        <f t="shared" si="24"/>
        <v>0.89414500235561667</v>
      </c>
      <c r="AV30" s="108"/>
      <c r="AW30" s="109">
        <f t="shared" si="43"/>
        <v>1</v>
      </c>
      <c r="AX30" s="112">
        <f t="shared" si="11"/>
        <v>1</v>
      </c>
      <c r="AY30" s="91">
        <f t="shared" si="14"/>
        <v>6.5</v>
      </c>
      <c r="AZ30" s="113"/>
      <c r="BA30" s="93">
        <v>72686.8</v>
      </c>
      <c r="BB30" s="8"/>
      <c r="BC30" s="94">
        <f t="shared" si="12"/>
        <v>0.79548070426159712</v>
      </c>
      <c r="BD30" s="8">
        <f t="shared" si="26"/>
        <v>0</v>
      </c>
      <c r="BE30" s="95">
        <f t="shared" si="27"/>
        <v>0</v>
      </c>
      <c r="BF30" s="95">
        <f t="shared" si="28"/>
        <v>0</v>
      </c>
      <c r="BG30" s="95">
        <f t="shared" si="29"/>
        <v>1</v>
      </c>
      <c r="BH30" s="8">
        <f t="shared" si="30"/>
        <v>0</v>
      </c>
      <c r="BJ30" s="94">
        <f t="shared" si="13"/>
        <v>0.62570160725399748</v>
      </c>
      <c r="BK30" s="8">
        <f t="shared" si="31"/>
        <v>0</v>
      </c>
      <c r="BL30" s="95">
        <f t="shared" si="32"/>
        <v>0</v>
      </c>
      <c r="BM30" s="95">
        <f t="shared" si="33"/>
        <v>0</v>
      </c>
      <c r="BN30" s="95">
        <f t="shared" si="34"/>
        <v>1</v>
      </c>
      <c r="BO30" s="8">
        <f t="shared" si="35"/>
        <v>0</v>
      </c>
    </row>
    <row r="31" spans="1:67" s="11" customFormat="1" x14ac:dyDescent="0.25">
      <c r="A31" s="96" t="s">
        <v>94</v>
      </c>
      <c r="B31" s="97">
        <v>0</v>
      </c>
      <c r="C31" s="97">
        <v>-5430.3309500000005</v>
      </c>
      <c r="D31" s="97">
        <v>0</v>
      </c>
      <c r="E31" s="98">
        <f t="shared" si="15"/>
        <v>0</v>
      </c>
      <c r="F31" s="99"/>
      <c r="G31" s="100">
        <f t="shared" si="38"/>
        <v>1</v>
      </c>
      <c r="H31" s="101">
        <f t="shared" si="0"/>
        <v>1</v>
      </c>
      <c r="I31" s="97">
        <v>0</v>
      </c>
      <c r="J31" s="102">
        <v>157208.16675999999</v>
      </c>
      <c r="K31" s="103">
        <v>121828.12827</v>
      </c>
      <c r="L31" s="97">
        <v>22035</v>
      </c>
      <c r="M31" s="97">
        <v>0</v>
      </c>
      <c r="N31" s="98">
        <f t="shared" si="17"/>
        <v>0</v>
      </c>
      <c r="O31" s="99"/>
      <c r="P31" s="100">
        <f t="shared" si="39"/>
        <v>1</v>
      </c>
      <c r="Q31" s="101">
        <f t="shared" si="2"/>
        <v>1</v>
      </c>
      <c r="R31" s="104">
        <v>0</v>
      </c>
      <c r="S31" s="97">
        <v>151777.83580999999</v>
      </c>
      <c r="T31" s="105">
        <v>73508.26595999999</v>
      </c>
      <c r="U31" s="98">
        <f t="shared" si="3"/>
        <v>0</v>
      </c>
      <c r="V31" s="99"/>
      <c r="W31" s="100">
        <f t="shared" si="40"/>
        <v>1</v>
      </c>
      <c r="X31" s="101">
        <f t="shared" si="18"/>
        <v>1</v>
      </c>
      <c r="Y31" s="97">
        <f t="shared" si="19"/>
        <v>-5430.3309500000005</v>
      </c>
      <c r="Z31" s="106"/>
      <c r="AA31" s="106">
        <v>-5430.3309500000005</v>
      </c>
      <c r="AB31" s="106"/>
      <c r="AC31" s="106">
        <f t="shared" si="5"/>
        <v>157208.16675999999</v>
      </c>
      <c r="AD31" s="106">
        <f t="shared" si="5"/>
        <v>121828.12827</v>
      </c>
      <c r="AE31" s="106">
        <f t="shared" si="5"/>
        <v>22035</v>
      </c>
      <c r="AF31" s="106">
        <f t="shared" si="20"/>
        <v>13345.038489999992</v>
      </c>
      <c r="AG31" s="106">
        <f t="shared" si="44"/>
        <v>667.25192449999963</v>
      </c>
      <c r="AH31" s="106">
        <f t="shared" si="37"/>
        <v>667.25192449999963</v>
      </c>
      <c r="AI31" s="107">
        <f t="shared" si="8"/>
        <v>0</v>
      </c>
      <c r="AJ31" s="99"/>
      <c r="AK31" s="109">
        <f t="shared" si="41"/>
        <v>1.5</v>
      </c>
      <c r="AL31" s="101">
        <f t="shared" si="9"/>
        <v>1.5</v>
      </c>
      <c r="AM31" s="110"/>
      <c r="AN31" s="100"/>
      <c r="AO31" s="111"/>
      <c r="AP31" s="99"/>
      <c r="AQ31" s="109">
        <f t="shared" si="42"/>
        <v>1</v>
      </c>
      <c r="AR31" s="112">
        <f t="shared" si="23"/>
        <v>1</v>
      </c>
      <c r="AS31" s="110"/>
      <c r="AT31" s="100"/>
      <c r="AU31" s="107"/>
      <c r="AV31" s="99"/>
      <c r="AW31" s="109">
        <f t="shared" si="43"/>
        <v>1</v>
      </c>
      <c r="AX31" s="112">
        <f t="shared" si="11"/>
        <v>1</v>
      </c>
      <c r="AY31" s="91">
        <f t="shared" si="14"/>
        <v>6.5</v>
      </c>
      <c r="AZ31" s="113"/>
      <c r="BA31" s="93">
        <v>81674.100000000006</v>
      </c>
      <c r="BB31" s="8"/>
      <c r="BC31" s="94">
        <f t="shared" si="12"/>
        <v>0.84056088044969335</v>
      </c>
      <c r="BD31" s="8">
        <f t="shared" si="26"/>
        <v>0</v>
      </c>
      <c r="BE31" s="95">
        <f t="shared" si="27"/>
        <v>0</v>
      </c>
      <c r="BF31" s="95">
        <f t="shared" si="28"/>
        <v>0</v>
      </c>
      <c r="BG31" s="95">
        <f t="shared" si="29"/>
        <v>1</v>
      </c>
      <c r="BH31" s="8">
        <f t="shared" si="30"/>
        <v>0</v>
      </c>
      <c r="BJ31" s="94">
        <f t="shared" si="13"/>
        <v>1.2390588161844034</v>
      </c>
      <c r="BK31" s="8">
        <f t="shared" si="31"/>
        <v>0</v>
      </c>
      <c r="BL31" s="95">
        <f t="shared" si="32"/>
        <v>0</v>
      </c>
      <c r="BM31" s="95">
        <f t="shared" si="33"/>
        <v>0</v>
      </c>
      <c r="BN31" s="95">
        <f t="shared" si="34"/>
        <v>0</v>
      </c>
      <c r="BO31" s="8">
        <f t="shared" si="35"/>
        <v>1</v>
      </c>
    </row>
    <row r="32" spans="1:67" s="11" customFormat="1" x14ac:dyDescent="0.25">
      <c r="A32" s="96" t="s">
        <v>95</v>
      </c>
      <c r="B32" s="97">
        <v>0</v>
      </c>
      <c r="C32" s="97">
        <v>-276.69940000000003</v>
      </c>
      <c r="D32" s="97">
        <v>0</v>
      </c>
      <c r="E32" s="98">
        <f t="shared" si="15"/>
        <v>0</v>
      </c>
      <c r="F32" s="99"/>
      <c r="G32" s="100">
        <f t="shared" si="38"/>
        <v>1</v>
      </c>
      <c r="H32" s="101">
        <f t="shared" si="0"/>
        <v>1</v>
      </c>
      <c r="I32" s="97">
        <v>0</v>
      </c>
      <c r="J32" s="102">
        <v>512959.52470000001</v>
      </c>
      <c r="K32" s="103">
        <v>361430.21691000002</v>
      </c>
      <c r="L32" s="97">
        <v>103246</v>
      </c>
      <c r="M32" s="97">
        <v>0</v>
      </c>
      <c r="N32" s="98">
        <f t="shared" si="17"/>
        <v>0</v>
      </c>
      <c r="O32" s="99"/>
      <c r="P32" s="100">
        <f t="shared" si="39"/>
        <v>1</v>
      </c>
      <c r="Q32" s="101">
        <f t="shared" si="2"/>
        <v>1</v>
      </c>
      <c r="R32" s="104">
        <v>0</v>
      </c>
      <c r="S32" s="97">
        <v>512682.82530000003</v>
      </c>
      <c r="T32" s="105">
        <v>222601.20079</v>
      </c>
      <c r="U32" s="98">
        <f t="shared" si="3"/>
        <v>0</v>
      </c>
      <c r="V32" s="99"/>
      <c r="W32" s="100">
        <f t="shared" si="40"/>
        <v>1</v>
      </c>
      <c r="X32" s="101">
        <f t="shared" si="18"/>
        <v>1</v>
      </c>
      <c r="Y32" s="97">
        <f t="shared" si="19"/>
        <v>-276.69940000000003</v>
      </c>
      <c r="Z32" s="106"/>
      <c r="AA32" s="106">
        <v>-276.69940000000003</v>
      </c>
      <c r="AB32" s="106"/>
      <c r="AC32" s="106">
        <f t="shared" si="5"/>
        <v>512959.52470000001</v>
      </c>
      <c r="AD32" s="106">
        <f t="shared" si="5"/>
        <v>361430.21691000002</v>
      </c>
      <c r="AE32" s="106">
        <f t="shared" si="5"/>
        <v>103246</v>
      </c>
      <c r="AF32" s="106">
        <f t="shared" si="20"/>
        <v>48283.307789999992</v>
      </c>
      <c r="AG32" s="106">
        <f t="shared" si="44"/>
        <v>2414.1653894999995</v>
      </c>
      <c r="AH32" s="106">
        <f t="shared" si="37"/>
        <v>2414.1653894999995</v>
      </c>
      <c r="AI32" s="107">
        <f t="shared" si="8"/>
        <v>0</v>
      </c>
      <c r="AJ32" s="99"/>
      <c r="AK32" s="109">
        <f t="shared" si="41"/>
        <v>1.5</v>
      </c>
      <c r="AL32" s="101">
        <f t="shared" si="9"/>
        <v>1.5</v>
      </c>
      <c r="AM32" s="110">
        <v>15059.26434</v>
      </c>
      <c r="AN32" s="100">
        <v>16476.592000000001</v>
      </c>
      <c r="AO32" s="111">
        <f>AM32/AN32</f>
        <v>0.91397931926699405</v>
      </c>
      <c r="AP32" s="99"/>
      <c r="AQ32" s="109">
        <f t="shared" si="42"/>
        <v>1</v>
      </c>
      <c r="AR32" s="112">
        <f t="shared" si="23"/>
        <v>1</v>
      </c>
      <c r="AS32" s="110">
        <v>37996.379000000001</v>
      </c>
      <c r="AT32" s="100">
        <v>39255.114000000001</v>
      </c>
      <c r="AU32" s="107">
        <f t="shared" si="24"/>
        <v>0.96793449638179629</v>
      </c>
      <c r="AV32" s="99"/>
      <c r="AW32" s="109">
        <f t="shared" si="43"/>
        <v>1</v>
      </c>
      <c r="AX32" s="112">
        <f t="shared" si="11"/>
        <v>1</v>
      </c>
      <c r="AY32" s="91">
        <f t="shared" si="14"/>
        <v>6.5</v>
      </c>
      <c r="AZ32" s="113"/>
      <c r="BA32" s="93">
        <v>81403.399999999994</v>
      </c>
      <c r="BB32" s="8"/>
      <c r="BC32" s="94">
        <f t="shared" si="12"/>
        <v>0.83371130147119188</v>
      </c>
      <c r="BD32" s="8">
        <f t="shared" si="26"/>
        <v>0</v>
      </c>
      <c r="BE32" s="95">
        <f t="shared" si="27"/>
        <v>0</v>
      </c>
      <c r="BF32" s="95">
        <f t="shared" si="28"/>
        <v>0</v>
      </c>
      <c r="BG32" s="95">
        <f t="shared" si="29"/>
        <v>1</v>
      </c>
      <c r="BH32" s="8">
        <f t="shared" si="30"/>
        <v>0</v>
      </c>
      <c r="BJ32" s="94">
        <f t="shared" si="13"/>
        <v>0.63593630626285835</v>
      </c>
      <c r="BK32" s="8">
        <f t="shared" si="31"/>
        <v>0</v>
      </c>
      <c r="BL32" s="95">
        <f t="shared" si="32"/>
        <v>0</v>
      </c>
      <c r="BM32" s="95">
        <f t="shared" si="33"/>
        <v>0</v>
      </c>
      <c r="BN32" s="95">
        <f t="shared" si="34"/>
        <v>1</v>
      </c>
      <c r="BO32" s="8">
        <f t="shared" si="35"/>
        <v>0</v>
      </c>
    </row>
    <row r="33" spans="1:67" s="11" customFormat="1" x14ac:dyDescent="0.25">
      <c r="A33" s="96" t="s">
        <v>96</v>
      </c>
      <c r="B33" s="97">
        <v>0</v>
      </c>
      <c r="C33" s="97">
        <v>-328.88292999999999</v>
      </c>
      <c r="D33" s="97">
        <v>0</v>
      </c>
      <c r="E33" s="98">
        <f>IF(AND(B33=0,D33=0),0,B33/(IF(C33&gt;0,C33,0)+D33))</f>
        <v>0</v>
      </c>
      <c r="F33" s="99"/>
      <c r="G33" s="100">
        <f t="shared" si="38"/>
        <v>1</v>
      </c>
      <c r="H33" s="101">
        <f>F33+G33</f>
        <v>1</v>
      </c>
      <c r="I33" s="97">
        <v>0</v>
      </c>
      <c r="J33" s="102">
        <v>653427.06305</v>
      </c>
      <c r="K33" s="103">
        <v>502957.27207000001</v>
      </c>
      <c r="L33" s="97">
        <v>87384</v>
      </c>
      <c r="M33" s="97">
        <v>0</v>
      </c>
      <c r="N33" s="98">
        <f>(I33-M33)/(J33-K33-L33)</f>
        <v>0</v>
      </c>
      <c r="O33" s="99"/>
      <c r="P33" s="100">
        <f t="shared" si="39"/>
        <v>1</v>
      </c>
      <c r="Q33" s="101">
        <f>O33+P33</f>
        <v>1</v>
      </c>
      <c r="R33" s="104">
        <v>0</v>
      </c>
      <c r="S33" s="97">
        <v>653098.18012000003</v>
      </c>
      <c r="T33" s="105">
        <v>310370.78741000005</v>
      </c>
      <c r="U33" s="98">
        <f>R33/(S33-T33)</f>
        <v>0</v>
      </c>
      <c r="V33" s="99"/>
      <c r="W33" s="100">
        <f t="shared" si="40"/>
        <v>1</v>
      </c>
      <c r="X33" s="101">
        <f t="shared" si="18"/>
        <v>1</v>
      </c>
      <c r="Y33" s="97">
        <f t="shared" si="19"/>
        <v>-328.88292999999999</v>
      </c>
      <c r="Z33" s="106"/>
      <c r="AA33" s="106">
        <v>-328.88292999999999</v>
      </c>
      <c r="AB33" s="106"/>
      <c r="AC33" s="106">
        <f t="shared" si="5"/>
        <v>653427.06305</v>
      </c>
      <c r="AD33" s="106">
        <f t="shared" si="5"/>
        <v>502957.27207000001</v>
      </c>
      <c r="AE33" s="106">
        <f t="shared" si="5"/>
        <v>87384</v>
      </c>
      <c r="AF33" s="106">
        <f>AC33-AD33-AE33</f>
        <v>63085.790979999991</v>
      </c>
      <c r="AG33" s="106">
        <f>AF33*10%</f>
        <v>6308.5790979999992</v>
      </c>
      <c r="AH33" s="106">
        <f>IF(AA33&gt;0,AA33,0)+AG33+IF(AB33&gt;0,AB33,0)</f>
        <v>6308.5790979999992</v>
      </c>
      <c r="AI33" s="107">
        <f t="shared" si="8"/>
        <v>0</v>
      </c>
      <c r="AJ33" s="108"/>
      <c r="AK33" s="109">
        <f t="shared" si="41"/>
        <v>1.5</v>
      </c>
      <c r="AL33" s="101">
        <f>AJ33+AK33</f>
        <v>1.5</v>
      </c>
      <c r="AM33" s="110">
        <v>18468.587439999999</v>
      </c>
      <c r="AN33" s="100">
        <v>19855.387999999999</v>
      </c>
      <c r="AO33" s="111">
        <f>AM33/AN33</f>
        <v>0.93015495038424834</v>
      </c>
      <c r="AP33" s="108"/>
      <c r="AQ33" s="109">
        <f t="shared" si="42"/>
        <v>1</v>
      </c>
      <c r="AR33" s="112">
        <f>AP33+AQ33</f>
        <v>1</v>
      </c>
      <c r="AS33" s="110">
        <v>43437.464249999997</v>
      </c>
      <c r="AT33" s="100">
        <v>45573.536</v>
      </c>
      <c r="AU33" s="107">
        <f t="shared" si="24"/>
        <v>0.95312911971544179</v>
      </c>
      <c r="AV33" s="108"/>
      <c r="AW33" s="109">
        <f t="shared" si="43"/>
        <v>1</v>
      </c>
      <c r="AX33" s="112">
        <f t="shared" si="11"/>
        <v>1</v>
      </c>
      <c r="AY33" s="91">
        <f t="shared" si="14"/>
        <v>6.5</v>
      </c>
      <c r="AZ33" s="113"/>
      <c r="BA33" s="93">
        <v>138164.9</v>
      </c>
      <c r="BB33" s="8"/>
      <c r="BC33" s="94">
        <f t="shared" si="12"/>
        <v>0.81610658233169386</v>
      </c>
      <c r="BD33" s="8">
        <f t="shared" si="26"/>
        <v>0</v>
      </c>
      <c r="BE33" s="95">
        <f t="shared" si="27"/>
        <v>0</v>
      </c>
      <c r="BF33" s="95">
        <f t="shared" si="28"/>
        <v>0</v>
      </c>
      <c r="BG33" s="95">
        <f t="shared" si="29"/>
        <v>1</v>
      </c>
      <c r="BH33" s="8">
        <f t="shared" si="30"/>
        <v>0</v>
      </c>
      <c r="BJ33" s="94">
        <f t="shared" si="13"/>
        <v>0.65746909768439543</v>
      </c>
      <c r="BK33" s="8">
        <f t="shared" si="31"/>
        <v>0</v>
      </c>
      <c r="BL33" s="95">
        <f t="shared" si="32"/>
        <v>0</v>
      </c>
      <c r="BM33" s="95">
        <f t="shared" si="33"/>
        <v>0</v>
      </c>
      <c r="BN33" s="95">
        <f t="shared" si="34"/>
        <v>1</v>
      </c>
      <c r="BO33" s="8">
        <f t="shared" si="35"/>
        <v>0</v>
      </c>
    </row>
    <row r="34" spans="1:67" s="11" customFormat="1" x14ac:dyDescent="0.25">
      <c r="A34" s="96" t="s">
        <v>97</v>
      </c>
      <c r="B34" s="97">
        <v>0</v>
      </c>
      <c r="C34" s="97">
        <v>2224.2723099999998</v>
      </c>
      <c r="D34" s="97">
        <v>0</v>
      </c>
      <c r="E34" s="98">
        <f t="shared" si="15"/>
        <v>0</v>
      </c>
      <c r="F34" s="99"/>
      <c r="G34" s="100">
        <f t="shared" si="38"/>
        <v>1</v>
      </c>
      <c r="H34" s="101">
        <f t="shared" si="0"/>
        <v>1</v>
      </c>
      <c r="I34" s="97">
        <v>0</v>
      </c>
      <c r="J34" s="102">
        <v>154695.46362999998</v>
      </c>
      <c r="K34" s="103">
        <v>108470.07090000001</v>
      </c>
      <c r="L34" s="97">
        <v>22717</v>
      </c>
      <c r="M34" s="97">
        <v>0</v>
      </c>
      <c r="N34" s="98">
        <f t="shared" si="17"/>
        <v>0</v>
      </c>
      <c r="O34" s="99"/>
      <c r="P34" s="100">
        <f t="shared" si="39"/>
        <v>1</v>
      </c>
      <c r="Q34" s="101">
        <f t="shared" si="2"/>
        <v>1</v>
      </c>
      <c r="R34" s="104">
        <v>0</v>
      </c>
      <c r="S34" s="97">
        <v>156919.73593999998</v>
      </c>
      <c r="T34" s="105">
        <v>67284.008419999998</v>
      </c>
      <c r="U34" s="98">
        <f t="shared" si="3"/>
        <v>0</v>
      </c>
      <c r="V34" s="99"/>
      <c r="W34" s="100">
        <f t="shared" si="40"/>
        <v>1</v>
      </c>
      <c r="X34" s="101">
        <f t="shared" si="18"/>
        <v>1</v>
      </c>
      <c r="Y34" s="97">
        <f t="shared" si="19"/>
        <v>2224.2723099999998</v>
      </c>
      <c r="Z34" s="106"/>
      <c r="AA34" s="106">
        <v>2224.2723099999998</v>
      </c>
      <c r="AB34" s="106"/>
      <c r="AC34" s="106">
        <f t="shared" si="5"/>
        <v>154695.46362999998</v>
      </c>
      <c r="AD34" s="106">
        <f t="shared" si="5"/>
        <v>108470.07090000001</v>
      </c>
      <c r="AE34" s="106">
        <f t="shared" si="5"/>
        <v>22717</v>
      </c>
      <c r="AF34" s="106">
        <f t="shared" si="20"/>
        <v>23508.392729999978</v>
      </c>
      <c r="AG34" s="106">
        <f t="shared" ref="AG34:AG39" si="45">AF34*5%</f>
        <v>1175.4196364999989</v>
      </c>
      <c r="AH34" s="106">
        <f t="shared" si="37"/>
        <v>3399.6919464999987</v>
      </c>
      <c r="AI34" s="107">
        <f t="shared" si="8"/>
        <v>0</v>
      </c>
      <c r="AJ34" s="108"/>
      <c r="AK34" s="109">
        <f t="shared" si="41"/>
        <v>1.5</v>
      </c>
      <c r="AL34" s="101">
        <f t="shared" si="9"/>
        <v>1.5</v>
      </c>
      <c r="AM34" s="110">
        <v>7773.8613100000002</v>
      </c>
      <c r="AN34" s="100">
        <v>11425.258</v>
      </c>
      <c r="AO34" s="111">
        <f t="shared" si="10"/>
        <v>0.68041013253267457</v>
      </c>
      <c r="AP34" s="108"/>
      <c r="AQ34" s="109">
        <f t="shared" si="42"/>
        <v>1</v>
      </c>
      <c r="AR34" s="112">
        <f>AP34+AQ34</f>
        <v>1</v>
      </c>
      <c r="AS34" s="110">
        <v>23457.667509999999</v>
      </c>
      <c r="AT34" s="100">
        <v>28937.664000000001</v>
      </c>
      <c r="AU34" s="107">
        <f t="shared" si="24"/>
        <v>0.81062754443482377</v>
      </c>
      <c r="AV34" s="108"/>
      <c r="AW34" s="109">
        <f t="shared" si="43"/>
        <v>1</v>
      </c>
      <c r="AX34" s="112">
        <f t="shared" si="11"/>
        <v>1</v>
      </c>
      <c r="AY34" s="91">
        <f t="shared" si="14"/>
        <v>6.5</v>
      </c>
      <c r="AZ34" s="113"/>
      <c r="BA34" s="93">
        <v>29022.6</v>
      </c>
      <c r="BB34" s="8"/>
      <c r="BC34" s="94">
        <f t="shared" si="12"/>
        <v>0.73106050375751441</v>
      </c>
      <c r="BD34" s="8">
        <f t="shared" si="26"/>
        <v>0</v>
      </c>
      <c r="BE34" s="95">
        <f t="shared" si="27"/>
        <v>0</v>
      </c>
      <c r="BF34" s="95">
        <f t="shared" si="28"/>
        <v>0</v>
      </c>
      <c r="BG34" s="95">
        <f t="shared" si="29"/>
        <v>1</v>
      </c>
      <c r="BH34" s="8">
        <f t="shared" si="30"/>
        <v>0</v>
      </c>
      <c r="BJ34" s="94">
        <f t="shared" si="13"/>
        <v>0.59190869063670415</v>
      </c>
      <c r="BK34" s="8">
        <f t="shared" si="31"/>
        <v>0</v>
      </c>
      <c r="BL34" s="95">
        <f t="shared" si="32"/>
        <v>0</v>
      </c>
      <c r="BM34" s="95">
        <f t="shared" si="33"/>
        <v>0</v>
      </c>
      <c r="BN34" s="95">
        <f t="shared" si="34"/>
        <v>1</v>
      </c>
      <c r="BO34" s="8">
        <f t="shared" si="35"/>
        <v>0</v>
      </c>
    </row>
    <row r="35" spans="1:67" s="11" customFormat="1" x14ac:dyDescent="0.25">
      <c r="A35" s="96" t="s">
        <v>98</v>
      </c>
      <c r="B35" s="97">
        <v>0</v>
      </c>
      <c r="C35" s="97">
        <v>-2450.4944799999998</v>
      </c>
      <c r="D35" s="97">
        <v>0</v>
      </c>
      <c r="E35" s="98">
        <f>IF(AND(B35=0,D35=0),0,B35/(IF(C35&gt;0,C35,0)+D35))</f>
        <v>0</v>
      </c>
      <c r="F35" s="99"/>
      <c r="G35" s="100">
        <f t="shared" si="38"/>
        <v>1</v>
      </c>
      <c r="H35" s="101">
        <f>F35+G35</f>
        <v>1</v>
      </c>
      <c r="I35" s="97">
        <v>0</v>
      </c>
      <c r="J35" s="102">
        <v>597121.68182000006</v>
      </c>
      <c r="K35" s="103">
        <v>415422.74354</v>
      </c>
      <c r="L35" s="97">
        <v>40236</v>
      </c>
      <c r="M35" s="97">
        <v>0</v>
      </c>
      <c r="N35" s="98">
        <f>(I35-M35)/(J35-K35-L35)</f>
        <v>0</v>
      </c>
      <c r="O35" s="99"/>
      <c r="P35" s="100">
        <f>IF(N35&lt;=0.5,1,0)</f>
        <v>1</v>
      </c>
      <c r="Q35" s="101">
        <f>O35+P35</f>
        <v>1</v>
      </c>
      <c r="R35" s="104">
        <v>0</v>
      </c>
      <c r="S35" s="97">
        <v>594671.18734000006</v>
      </c>
      <c r="T35" s="105">
        <v>253578.94665999999</v>
      </c>
      <c r="U35" s="98">
        <f>R35/(S35-T35)</f>
        <v>0</v>
      </c>
      <c r="V35" s="99"/>
      <c r="W35" s="100">
        <f>IF(U35&lt;=0.15,1,0)</f>
        <v>1</v>
      </c>
      <c r="X35" s="101">
        <f>V35+W35</f>
        <v>1</v>
      </c>
      <c r="Y35" s="97">
        <f t="shared" si="19"/>
        <v>-2450.4944799999998</v>
      </c>
      <c r="Z35" s="106"/>
      <c r="AA35" s="106">
        <v>-2450.4944799999998</v>
      </c>
      <c r="AB35" s="106"/>
      <c r="AC35" s="106">
        <f>J35</f>
        <v>597121.68182000006</v>
      </c>
      <c r="AD35" s="106">
        <f>K35</f>
        <v>415422.74354</v>
      </c>
      <c r="AE35" s="106">
        <f>L35</f>
        <v>40236</v>
      </c>
      <c r="AF35" s="106">
        <f>AC35-AD35-AE35</f>
        <v>141462.93828000006</v>
      </c>
      <c r="AG35" s="106">
        <f>AF35*5%</f>
        <v>7073.1469140000036</v>
      </c>
      <c r="AH35" s="106">
        <f>IF(AA35&gt;0,AA35,0)+AG35+IF(AB35&gt;0,AB35,0)</f>
        <v>7073.1469140000036</v>
      </c>
      <c r="AI35" s="107">
        <f>IF((Y35-IF(Z35&gt;0,Z35,0)-IF(AA35&gt;0,AA35,0)-IF(AB35&gt;0,AB35,0))/(AC35-AD35-AE35)&gt;0,(Y35-IF(Z35&gt;0,Z35,0)-IF(AA35&gt;0,AA35,0)-IF(AB35&gt;0,AB35,0))/(AC35-AD35-AE35),0)</f>
        <v>0</v>
      </c>
      <c r="AJ35" s="108"/>
      <c r="AK35" s="109">
        <f>IF(AI35&lt;=0.05,1.5,0)</f>
        <v>1.5</v>
      </c>
      <c r="AL35" s="101">
        <f>AJ35+AK35</f>
        <v>1.5</v>
      </c>
      <c r="AM35" s="110">
        <v>13413.602999999999</v>
      </c>
      <c r="AN35" s="100">
        <v>13941.974</v>
      </c>
      <c r="AO35" s="111">
        <f>AM35/AN35</f>
        <v>0.96210213847766457</v>
      </c>
      <c r="AP35" s="108"/>
      <c r="AQ35" s="109">
        <f>IF(AO35&lt;=1,1,0)</f>
        <v>1</v>
      </c>
      <c r="AR35" s="112">
        <f>AP35+AQ35</f>
        <v>1</v>
      </c>
      <c r="AS35" s="110">
        <v>31023.66892</v>
      </c>
      <c r="AT35" s="100">
        <v>34602.1</v>
      </c>
      <c r="AU35" s="107">
        <f>AS35/AT35</f>
        <v>0.89658341314544499</v>
      </c>
      <c r="AV35" s="108"/>
      <c r="AW35" s="109">
        <f>IF(AU35&lt;=1,1,0)</f>
        <v>1</v>
      </c>
      <c r="AX35" s="112">
        <f>AV35+AW35</f>
        <v>1</v>
      </c>
      <c r="AY35" s="91">
        <f t="shared" si="14"/>
        <v>6.5</v>
      </c>
      <c r="AZ35" s="117"/>
      <c r="BA35" s="93">
        <v>51177.2</v>
      </c>
      <c r="BB35" s="8"/>
      <c r="BC35" s="94">
        <f t="shared" si="12"/>
        <v>0.58822317050565565</v>
      </c>
      <c r="BD35" s="8">
        <f t="shared" si="26"/>
        <v>0</v>
      </c>
      <c r="BE35" s="95">
        <f t="shared" si="27"/>
        <v>0</v>
      </c>
      <c r="BF35" s="95">
        <f t="shared" si="28"/>
        <v>1</v>
      </c>
      <c r="BG35" s="95">
        <f t="shared" si="29"/>
        <v>0</v>
      </c>
      <c r="BH35" s="8">
        <f t="shared" si="30"/>
        <v>0</v>
      </c>
      <c r="BJ35" s="94">
        <f t="shared" si="13"/>
        <v>0.26608974850661776</v>
      </c>
      <c r="BK35" s="8">
        <f t="shared" si="31"/>
        <v>0</v>
      </c>
      <c r="BL35" s="95">
        <f t="shared" si="32"/>
        <v>0</v>
      </c>
      <c r="BM35" s="95">
        <f t="shared" si="33"/>
        <v>1</v>
      </c>
      <c r="BN35" s="95">
        <f t="shared" si="34"/>
        <v>0</v>
      </c>
      <c r="BO35" s="8">
        <f t="shared" si="35"/>
        <v>0</v>
      </c>
    </row>
    <row r="36" spans="1:67" s="11" customFormat="1" x14ac:dyDescent="0.25">
      <c r="A36" s="120" t="s">
        <v>99</v>
      </c>
      <c r="B36" s="69">
        <v>0</v>
      </c>
      <c r="C36" s="69">
        <v>6291.52153</v>
      </c>
      <c r="D36" s="69">
        <v>0</v>
      </c>
      <c r="E36" s="75">
        <f t="shared" si="15"/>
        <v>0</v>
      </c>
      <c r="F36" s="115">
        <f>IF(E36&lt;1,1,0)</f>
        <v>1</v>
      </c>
      <c r="G36" s="85"/>
      <c r="H36" s="86">
        <f t="shared" si="0"/>
        <v>1</v>
      </c>
      <c r="I36" s="69">
        <v>0</v>
      </c>
      <c r="J36" s="73">
        <v>404382.31868999999</v>
      </c>
      <c r="K36" s="74">
        <v>267193.47827999998</v>
      </c>
      <c r="L36" s="69">
        <v>52754</v>
      </c>
      <c r="M36" s="69">
        <v>0</v>
      </c>
      <c r="N36" s="75">
        <f t="shared" si="17"/>
        <v>0</v>
      </c>
      <c r="O36" s="115">
        <f>IF(N36&lt;=1,1,0)</f>
        <v>1</v>
      </c>
      <c r="P36" s="85"/>
      <c r="Q36" s="86">
        <f t="shared" si="2"/>
        <v>1</v>
      </c>
      <c r="R36" s="116">
        <v>0</v>
      </c>
      <c r="S36" s="69">
        <v>410673.84022000001</v>
      </c>
      <c r="T36" s="78">
        <v>145603.14874</v>
      </c>
      <c r="U36" s="75">
        <f t="shared" si="3"/>
        <v>0</v>
      </c>
      <c r="V36" s="115">
        <f>IF(U36&lt;=0.15,1,0)</f>
        <v>1</v>
      </c>
      <c r="W36" s="85"/>
      <c r="X36" s="86">
        <f t="shared" si="18"/>
        <v>1</v>
      </c>
      <c r="Y36" s="69">
        <f t="shared" si="19"/>
        <v>6291.52153</v>
      </c>
      <c r="Z36" s="81"/>
      <c r="AA36" s="81">
        <v>6291.52153</v>
      </c>
      <c r="AB36" s="81"/>
      <c r="AC36" s="81">
        <f t="shared" si="5"/>
        <v>404382.31868999999</v>
      </c>
      <c r="AD36" s="81">
        <f t="shared" si="5"/>
        <v>267193.47827999998</v>
      </c>
      <c r="AE36" s="81">
        <f t="shared" si="5"/>
        <v>52754</v>
      </c>
      <c r="AF36" s="81">
        <f t="shared" si="20"/>
        <v>84434.840410000004</v>
      </c>
      <c r="AG36" s="81">
        <f t="shared" si="45"/>
        <v>4221.7420205000008</v>
      </c>
      <c r="AH36" s="81">
        <f t="shared" si="37"/>
        <v>10513.2635505</v>
      </c>
      <c r="AI36" s="119">
        <f t="shared" si="8"/>
        <v>0</v>
      </c>
      <c r="AJ36" s="84">
        <f>IF(AI36&lt;=0.1,1.5,0)</f>
        <v>1.5</v>
      </c>
      <c r="AK36" s="121"/>
      <c r="AL36" s="86">
        <f t="shared" si="9"/>
        <v>1.5</v>
      </c>
      <c r="AM36" s="87">
        <v>11880.031660000001</v>
      </c>
      <c r="AN36" s="85">
        <v>12949.924000000001</v>
      </c>
      <c r="AO36" s="118">
        <f t="shared" si="10"/>
        <v>0.91738234602766777</v>
      </c>
      <c r="AP36" s="84">
        <f>IF(AO36&lt;=1,1,0)</f>
        <v>1</v>
      </c>
      <c r="AQ36" s="121"/>
      <c r="AR36" s="122">
        <f t="shared" si="23"/>
        <v>1</v>
      </c>
      <c r="AS36" s="87">
        <v>31538.742470000001</v>
      </c>
      <c r="AT36" s="85">
        <v>32497.865000000002</v>
      </c>
      <c r="AU36" s="119">
        <f t="shared" si="24"/>
        <v>0.97048659873502463</v>
      </c>
      <c r="AV36" s="84">
        <f>IF(AU36&lt;=1,1,0)</f>
        <v>1</v>
      </c>
      <c r="AW36" s="121"/>
      <c r="AX36" s="122">
        <f t="shared" si="11"/>
        <v>1</v>
      </c>
      <c r="AY36" s="91">
        <f t="shared" si="14"/>
        <v>6.5</v>
      </c>
      <c r="AZ36" s="113"/>
      <c r="BA36" s="93">
        <v>36645.800000000003</v>
      </c>
      <c r="BB36" s="8"/>
      <c r="BC36" s="94">
        <f t="shared" si="12"/>
        <v>0.67371855923985657</v>
      </c>
      <c r="BD36" s="8">
        <f t="shared" si="26"/>
        <v>0</v>
      </c>
      <c r="BE36" s="95">
        <f t="shared" si="27"/>
        <v>0</v>
      </c>
      <c r="BF36" s="95">
        <f t="shared" si="28"/>
        <v>1</v>
      </c>
      <c r="BG36" s="95">
        <f t="shared" si="29"/>
        <v>0</v>
      </c>
      <c r="BH36" s="8">
        <f t="shared" si="30"/>
        <v>0</v>
      </c>
      <c r="BJ36" s="94">
        <f t="shared" si="13"/>
        <v>0.34546752745699505</v>
      </c>
      <c r="BK36" s="8">
        <f t="shared" si="31"/>
        <v>0</v>
      </c>
      <c r="BL36" s="95">
        <f t="shared" si="32"/>
        <v>0</v>
      </c>
      <c r="BM36" s="95">
        <f t="shared" si="33"/>
        <v>1</v>
      </c>
      <c r="BN36" s="95">
        <f t="shared" si="34"/>
        <v>0</v>
      </c>
      <c r="BO36" s="8">
        <f t="shared" si="35"/>
        <v>0</v>
      </c>
    </row>
    <row r="37" spans="1:67" s="11" customFormat="1" x14ac:dyDescent="0.25">
      <c r="A37" s="96" t="s">
        <v>100</v>
      </c>
      <c r="B37" s="97">
        <v>0</v>
      </c>
      <c r="C37" s="97">
        <v>4761.6599900000001</v>
      </c>
      <c r="D37" s="97">
        <v>0</v>
      </c>
      <c r="E37" s="98">
        <f t="shared" si="15"/>
        <v>0</v>
      </c>
      <c r="F37" s="99"/>
      <c r="G37" s="100">
        <f t="shared" ref="G37:G40" si="46">IF(E37&lt;1,1,0)</f>
        <v>1</v>
      </c>
      <c r="H37" s="101">
        <f t="shared" si="0"/>
        <v>1</v>
      </c>
      <c r="I37" s="97">
        <v>0</v>
      </c>
      <c r="J37" s="102">
        <v>268138.9719</v>
      </c>
      <c r="K37" s="103">
        <v>193969.07309999998</v>
      </c>
      <c r="L37" s="97">
        <v>53191</v>
      </c>
      <c r="M37" s="97">
        <v>0</v>
      </c>
      <c r="N37" s="98">
        <f t="shared" si="17"/>
        <v>0</v>
      </c>
      <c r="O37" s="99"/>
      <c r="P37" s="100">
        <f t="shared" si="39"/>
        <v>1</v>
      </c>
      <c r="Q37" s="101">
        <f t="shared" si="2"/>
        <v>1</v>
      </c>
      <c r="R37" s="104">
        <v>0</v>
      </c>
      <c r="S37" s="97">
        <v>272900.63188999996</v>
      </c>
      <c r="T37" s="105">
        <v>117617.1143</v>
      </c>
      <c r="U37" s="98">
        <f t="shared" si="3"/>
        <v>0</v>
      </c>
      <c r="V37" s="99"/>
      <c r="W37" s="100">
        <f t="shared" si="40"/>
        <v>1</v>
      </c>
      <c r="X37" s="101">
        <f t="shared" si="18"/>
        <v>1</v>
      </c>
      <c r="Y37" s="97">
        <f t="shared" si="19"/>
        <v>4761.6599900000001</v>
      </c>
      <c r="Z37" s="106"/>
      <c r="AA37" s="106">
        <v>4761.6599900000001</v>
      </c>
      <c r="AB37" s="106"/>
      <c r="AC37" s="106">
        <f t="shared" si="5"/>
        <v>268138.9719</v>
      </c>
      <c r="AD37" s="106">
        <f t="shared" si="5"/>
        <v>193969.07309999998</v>
      </c>
      <c r="AE37" s="106">
        <f t="shared" si="5"/>
        <v>53191</v>
      </c>
      <c r="AF37" s="106">
        <f t="shared" si="20"/>
        <v>20978.898800000024</v>
      </c>
      <c r="AG37" s="106">
        <f t="shared" si="45"/>
        <v>1048.9449400000012</v>
      </c>
      <c r="AH37" s="106">
        <f t="shared" si="37"/>
        <v>5810.6049300000013</v>
      </c>
      <c r="AI37" s="107">
        <f t="shared" si="8"/>
        <v>0</v>
      </c>
      <c r="AJ37" s="99"/>
      <c r="AK37" s="109">
        <f>IF(AI37&lt;=0.05,1.5,0)</f>
        <v>1.5</v>
      </c>
      <c r="AL37" s="101">
        <f t="shared" si="9"/>
        <v>1.5</v>
      </c>
      <c r="AM37" s="110">
        <v>12361.66977</v>
      </c>
      <c r="AN37" s="100">
        <v>13941.974</v>
      </c>
      <c r="AO37" s="111">
        <f t="shared" si="10"/>
        <v>0.88665132857083229</v>
      </c>
      <c r="AP37" s="99"/>
      <c r="AQ37" s="109">
        <f>IF(AO37&lt;=1,1,0)</f>
        <v>1</v>
      </c>
      <c r="AR37" s="112">
        <f t="shared" si="23"/>
        <v>1</v>
      </c>
      <c r="AS37" s="110">
        <v>32514.8069</v>
      </c>
      <c r="AT37" s="100">
        <v>34602.1</v>
      </c>
      <c r="AU37" s="107">
        <f t="shared" si="24"/>
        <v>0.93967727103268306</v>
      </c>
      <c r="AV37" s="99"/>
      <c r="AW37" s="109">
        <f>IF(AU37&lt;=1,1,0)</f>
        <v>1</v>
      </c>
      <c r="AX37" s="112">
        <f t="shared" si="11"/>
        <v>1</v>
      </c>
      <c r="AY37" s="91">
        <f t="shared" si="14"/>
        <v>6.5</v>
      </c>
      <c r="AZ37" s="113"/>
      <c r="BA37" s="93">
        <v>52646.1</v>
      </c>
      <c r="BB37" s="8"/>
      <c r="BC37" s="94">
        <f t="shared" si="12"/>
        <v>0.86062556538632562</v>
      </c>
      <c r="BD37" s="8">
        <f t="shared" si="26"/>
        <v>0</v>
      </c>
      <c r="BE37" s="95">
        <f t="shared" si="27"/>
        <v>0</v>
      </c>
      <c r="BF37" s="95">
        <f t="shared" si="28"/>
        <v>0</v>
      </c>
      <c r="BG37" s="95">
        <f t="shared" si="29"/>
        <v>1</v>
      </c>
      <c r="BH37" s="8">
        <f t="shared" si="30"/>
        <v>0</v>
      </c>
      <c r="BJ37" s="94">
        <f t="shared" si="13"/>
        <v>0.70313442637184154</v>
      </c>
      <c r="BK37" s="8">
        <f t="shared" si="31"/>
        <v>0</v>
      </c>
      <c r="BL37" s="95">
        <f t="shared" si="32"/>
        <v>0</v>
      </c>
      <c r="BM37" s="95">
        <f t="shared" si="33"/>
        <v>0</v>
      </c>
      <c r="BN37" s="95">
        <f t="shared" si="34"/>
        <v>1</v>
      </c>
      <c r="BO37" s="8">
        <f t="shared" si="35"/>
        <v>0</v>
      </c>
    </row>
    <row r="38" spans="1:67" s="11" customFormat="1" x14ac:dyDescent="0.25">
      <c r="A38" s="96" t="s">
        <v>101</v>
      </c>
      <c r="B38" s="97">
        <v>0</v>
      </c>
      <c r="C38" s="97">
        <v>39.481769999999997</v>
      </c>
      <c r="D38" s="97">
        <v>0</v>
      </c>
      <c r="E38" s="98">
        <f t="shared" si="15"/>
        <v>0</v>
      </c>
      <c r="F38" s="99"/>
      <c r="G38" s="100">
        <f t="shared" si="46"/>
        <v>1</v>
      </c>
      <c r="H38" s="101">
        <f t="shared" si="0"/>
        <v>1</v>
      </c>
      <c r="I38" s="97">
        <v>0</v>
      </c>
      <c r="J38" s="102">
        <v>493579.10638999997</v>
      </c>
      <c r="K38" s="103">
        <v>362108.82720999996</v>
      </c>
      <c r="L38" s="97">
        <v>72984</v>
      </c>
      <c r="M38" s="97">
        <v>0</v>
      </c>
      <c r="N38" s="98">
        <f t="shared" si="17"/>
        <v>0</v>
      </c>
      <c r="O38" s="99"/>
      <c r="P38" s="100">
        <f t="shared" si="39"/>
        <v>1</v>
      </c>
      <c r="Q38" s="101">
        <f t="shared" si="2"/>
        <v>1</v>
      </c>
      <c r="R38" s="104">
        <v>0</v>
      </c>
      <c r="S38" s="97">
        <v>493618.58816000004</v>
      </c>
      <c r="T38" s="105">
        <v>179728.71947000001</v>
      </c>
      <c r="U38" s="98">
        <f t="shared" si="3"/>
        <v>0</v>
      </c>
      <c r="V38" s="99"/>
      <c r="W38" s="100">
        <f t="shared" si="40"/>
        <v>1</v>
      </c>
      <c r="X38" s="101">
        <f t="shared" si="18"/>
        <v>1</v>
      </c>
      <c r="Y38" s="97">
        <f t="shared" si="19"/>
        <v>39.481769999999997</v>
      </c>
      <c r="Z38" s="106"/>
      <c r="AA38" s="106">
        <v>39.481769999999997</v>
      </c>
      <c r="AB38" s="106"/>
      <c r="AC38" s="106">
        <f t="shared" si="5"/>
        <v>493579.10638999997</v>
      </c>
      <c r="AD38" s="106">
        <f t="shared" si="5"/>
        <v>362108.82720999996</v>
      </c>
      <c r="AE38" s="106">
        <f t="shared" si="5"/>
        <v>72984</v>
      </c>
      <c r="AF38" s="106">
        <f t="shared" si="20"/>
        <v>58486.279180000012</v>
      </c>
      <c r="AG38" s="106">
        <f t="shared" si="45"/>
        <v>2924.313959000001</v>
      </c>
      <c r="AH38" s="106">
        <f t="shared" si="37"/>
        <v>2963.7957290000008</v>
      </c>
      <c r="AI38" s="107">
        <f t="shared" si="8"/>
        <v>0</v>
      </c>
      <c r="AJ38" s="99"/>
      <c r="AK38" s="109">
        <f>IF(AI38&lt;=0.05,1.5,0)</f>
        <v>1.5</v>
      </c>
      <c r="AL38" s="101">
        <f t="shared" si="9"/>
        <v>1.5</v>
      </c>
      <c r="AM38" s="110">
        <v>14440.64465</v>
      </c>
      <c r="AN38" s="100">
        <v>16476.592000000001</v>
      </c>
      <c r="AO38" s="111">
        <f t="shared" si="10"/>
        <v>0.87643395248240652</v>
      </c>
      <c r="AP38" s="99"/>
      <c r="AQ38" s="109">
        <f>IF(AO38&lt;=1,1,0)</f>
        <v>1</v>
      </c>
      <c r="AR38" s="112">
        <f t="shared" si="23"/>
        <v>1</v>
      </c>
      <c r="AS38" s="110">
        <v>37088.644099999998</v>
      </c>
      <c r="AT38" s="100">
        <v>39255.114000000001</v>
      </c>
      <c r="AU38" s="107">
        <f t="shared" si="24"/>
        <v>0.9448105054541428</v>
      </c>
      <c r="AV38" s="99"/>
      <c r="AW38" s="109">
        <f>IF(AU38&lt;=1,1,0)</f>
        <v>1</v>
      </c>
      <c r="AX38" s="112">
        <f t="shared" si="11"/>
        <v>1</v>
      </c>
      <c r="AY38" s="91">
        <f t="shared" si="14"/>
        <v>6.5</v>
      </c>
      <c r="AZ38" s="113"/>
      <c r="BA38" s="93">
        <v>61780.800000000003</v>
      </c>
      <c r="BB38" s="8"/>
      <c r="BC38" s="94">
        <f t="shared" si="12"/>
        <v>0.81364917292611749</v>
      </c>
      <c r="BD38" s="8">
        <f t="shared" si="26"/>
        <v>0</v>
      </c>
      <c r="BE38" s="95">
        <f t="shared" si="27"/>
        <v>0</v>
      </c>
      <c r="BF38" s="95">
        <f t="shared" si="28"/>
        <v>0</v>
      </c>
      <c r="BG38" s="95">
        <f t="shared" si="29"/>
        <v>1</v>
      </c>
      <c r="BH38" s="8">
        <f t="shared" si="30"/>
        <v>0</v>
      </c>
      <c r="BJ38" s="94">
        <f t="shared" si="13"/>
        <v>0.42939185553513864</v>
      </c>
      <c r="BK38" s="8">
        <f t="shared" si="31"/>
        <v>0</v>
      </c>
      <c r="BL38" s="95">
        <f t="shared" si="32"/>
        <v>0</v>
      </c>
      <c r="BM38" s="95">
        <f t="shared" si="33"/>
        <v>1</v>
      </c>
      <c r="BN38" s="95">
        <f t="shared" si="34"/>
        <v>0</v>
      </c>
      <c r="BO38" s="8">
        <f t="shared" si="35"/>
        <v>0</v>
      </c>
    </row>
    <row r="39" spans="1:67" x14ac:dyDescent="0.25">
      <c r="A39" s="96" t="s">
        <v>102</v>
      </c>
      <c r="B39" s="97">
        <v>4000</v>
      </c>
      <c r="C39" s="97">
        <v>-1807.93362</v>
      </c>
      <c r="D39" s="97">
        <v>5000</v>
      </c>
      <c r="E39" s="98">
        <f t="shared" si="15"/>
        <v>0.8</v>
      </c>
      <c r="F39" s="99"/>
      <c r="G39" s="100">
        <f t="shared" si="46"/>
        <v>1</v>
      </c>
      <c r="H39" s="101">
        <f>F39+G39</f>
        <v>1</v>
      </c>
      <c r="I39" s="97">
        <v>4000</v>
      </c>
      <c r="J39" s="102">
        <v>502368.06531999999</v>
      </c>
      <c r="K39" s="103">
        <v>373966.87481999997</v>
      </c>
      <c r="L39" s="97">
        <v>75400</v>
      </c>
      <c r="M39" s="97">
        <v>0</v>
      </c>
      <c r="N39" s="98">
        <f t="shared" si="17"/>
        <v>7.5470002886067214E-2</v>
      </c>
      <c r="O39" s="99"/>
      <c r="P39" s="100">
        <f t="shared" si="39"/>
        <v>1</v>
      </c>
      <c r="Q39" s="101">
        <f>O39+P39</f>
        <v>1</v>
      </c>
      <c r="R39" s="104">
        <v>473.17371999999995</v>
      </c>
      <c r="S39" s="97">
        <v>500560.13169999997</v>
      </c>
      <c r="T39" s="105">
        <v>191942.35172000001</v>
      </c>
      <c r="U39" s="98">
        <f t="shared" si="3"/>
        <v>1.5332030449790159E-3</v>
      </c>
      <c r="V39" s="99"/>
      <c r="W39" s="100">
        <f t="shared" si="40"/>
        <v>1</v>
      </c>
      <c r="X39" s="101">
        <f t="shared" si="18"/>
        <v>1</v>
      </c>
      <c r="Y39" s="97">
        <f t="shared" si="19"/>
        <v>-1807.93362</v>
      </c>
      <c r="Z39" s="106"/>
      <c r="AA39" s="106">
        <v>-807.93362000000002</v>
      </c>
      <c r="AB39" s="106"/>
      <c r="AC39" s="106">
        <f t="shared" si="5"/>
        <v>502368.06531999999</v>
      </c>
      <c r="AD39" s="106">
        <f t="shared" si="5"/>
        <v>373966.87481999997</v>
      </c>
      <c r="AE39" s="106">
        <f t="shared" si="5"/>
        <v>75400</v>
      </c>
      <c r="AF39" s="106">
        <f t="shared" si="20"/>
        <v>53001.190500000026</v>
      </c>
      <c r="AG39" s="106">
        <f t="shared" si="45"/>
        <v>2650.0595250000015</v>
      </c>
      <c r="AH39" s="106">
        <f t="shared" si="37"/>
        <v>2650.0595250000015</v>
      </c>
      <c r="AI39" s="107">
        <f t="shared" si="8"/>
        <v>0</v>
      </c>
      <c r="AJ39" s="108"/>
      <c r="AK39" s="109">
        <f>IF(AI39&lt;=0.05,1.5,0)</f>
        <v>1.5</v>
      </c>
      <c r="AL39" s="101">
        <f t="shared" si="9"/>
        <v>1.5</v>
      </c>
      <c r="AM39" s="110">
        <v>18924.174859999999</v>
      </c>
      <c r="AN39" s="100">
        <v>19855.387999999999</v>
      </c>
      <c r="AO39" s="111">
        <f t="shared" si="10"/>
        <v>0.95310022951956419</v>
      </c>
      <c r="AP39" s="108"/>
      <c r="AQ39" s="109">
        <f>IF(AO39&lt;=1,1,0)</f>
        <v>1</v>
      </c>
      <c r="AR39" s="112">
        <f>AP39+AQ39</f>
        <v>1</v>
      </c>
      <c r="AS39" s="110">
        <v>39214.811379999999</v>
      </c>
      <c r="AT39" s="100">
        <v>45573.536</v>
      </c>
      <c r="AU39" s="107">
        <f t="shared" si="24"/>
        <v>0.86047331021231266</v>
      </c>
      <c r="AV39" s="108"/>
      <c r="AW39" s="109">
        <f>IF(AU39&lt;=1,1,0)</f>
        <v>1</v>
      </c>
      <c r="AX39" s="112">
        <f t="shared" si="11"/>
        <v>1</v>
      </c>
      <c r="AY39" s="91">
        <f t="shared" si="14"/>
        <v>6.5</v>
      </c>
      <c r="AZ39" s="113"/>
      <c r="BA39" s="93">
        <v>98131.4</v>
      </c>
      <c r="BC39" s="94">
        <f t="shared" si="12"/>
        <v>0.8292628858436164</v>
      </c>
      <c r="BD39" s="8">
        <f t="shared" si="26"/>
        <v>0</v>
      </c>
      <c r="BE39" s="95">
        <f t="shared" si="27"/>
        <v>0</v>
      </c>
      <c r="BF39" s="95">
        <f t="shared" si="28"/>
        <v>0</v>
      </c>
      <c r="BG39" s="95">
        <f t="shared" si="29"/>
        <v>1</v>
      </c>
      <c r="BH39" s="8">
        <f t="shared" si="30"/>
        <v>0</v>
      </c>
      <c r="BJ39" s="94">
        <f t="shared" si="13"/>
        <v>0.5590110367712785</v>
      </c>
      <c r="BK39" s="8">
        <f t="shared" si="31"/>
        <v>0</v>
      </c>
      <c r="BL39" s="95">
        <f t="shared" si="32"/>
        <v>0</v>
      </c>
      <c r="BM39" s="95">
        <f t="shared" si="33"/>
        <v>0</v>
      </c>
      <c r="BN39" s="95">
        <f t="shared" si="34"/>
        <v>1</v>
      </c>
      <c r="BO39" s="8">
        <f t="shared" si="35"/>
        <v>0</v>
      </c>
    </row>
    <row r="40" spans="1:67" x14ac:dyDescent="0.25">
      <c r="A40" s="96" t="s">
        <v>103</v>
      </c>
      <c r="B40" s="97">
        <v>0</v>
      </c>
      <c r="C40" s="97">
        <v>425.10518999999999</v>
      </c>
      <c r="D40" s="97">
        <v>0</v>
      </c>
      <c r="E40" s="98">
        <f t="shared" si="15"/>
        <v>0</v>
      </c>
      <c r="F40" s="99"/>
      <c r="G40" s="100">
        <f t="shared" si="46"/>
        <v>1</v>
      </c>
      <c r="H40" s="101">
        <f t="shared" si="0"/>
        <v>1</v>
      </c>
      <c r="I40" s="97">
        <v>0</v>
      </c>
      <c r="J40" s="102">
        <v>611449.72536000004</v>
      </c>
      <c r="K40" s="103">
        <v>424177.61462999997</v>
      </c>
      <c r="L40" s="97">
        <v>107686</v>
      </c>
      <c r="M40" s="97">
        <v>0</v>
      </c>
      <c r="N40" s="98">
        <f t="shared" si="17"/>
        <v>0</v>
      </c>
      <c r="O40" s="99"/>
      <c r="P40" s="100">
        <f>IF(N40&lt;=0.5,1,0)</f>
        <v>1</v>
      </c>
      <c r="Q40" s="101">
        <f t="shared" si="2"/>
        <v>1</v>
      </c>
      <c r="R40" s="104">
        <v>0</v>
      </c>
      <c r="S40" s="97">
        <v>611874.83054999996</v>
      </c>
      <c r="T40" s="105">
        <v>273212.26445000002</v>
      </c>
      <c r="U40" s="98">
        <f t="shared" si="3"/>
        <v>0</v>
      </c>
      <c r="V40" s="99"/>
      <c r="W40" s="100">
        <f>IF(U40&lt;=0.15,1,0)</f>
        <v>1</v>
      </c>
      <c r="X40" s="101">
        <f t="shared" si="18"/>
        <v>1</v>
      </c>
      <c r="Y40" s="97">
        <f t="shared" si="19"/>
        <v>425.10518999999999</v>
      </c>
      <c r="Z40" s="106"/>
      <c r="AA40" s="106">
        <v>425.10518999999999</v>
      </c>
      <c r="AB40" s="106"/>
      <c r="AC40" s="106">
        <f t="shared" si="5"/>
        <v>611449.72536000004</v>
      </c>
      <c r="AD40" s="106">
        <f t="shared" si="5"/>
        <v>424177.61462999997</v>
      </c>
      <c r="AE40" s="106">
        <f t="shared" si="5"/>
        <v>107686</v>
      </c>
      <c r="AF40" s="106">
        <f t="shared" si="20"/>
        <v>79586.110730000073</v>
      </c>
      <c r="AG40" s="106">
        <f>AF40*10%</f>
        <v>7958.6110730000073</v>
      </c>
      <c r="AH40" s="106">
        <f t="shared" si="37"/>
        <v>8383.7162630000075</v>
      </c>
      <c r="AI40" s="107">
        <f t="shared" si="8"/>
        <v>0</v>
      </c>
      <c r="AJ40" s="99"/>
      <c r="AK40" s="109">
        <f>IF(AI40&lt;=0.05,1.5,0)</f>
        <v>1.5</v>
      </c>
      <c r="AL40" s="101">
        <f t="shared" si="9"/>
        <v>1.5</v>
      </c>
      <c r="AM40" s="110">
        <v>17663.900000000001</v>
      </c>
      <c r="AN40" s="100">
        <v>19855.387999999999</v>
      </c>
      <c r="AO40" s="111">
        <f t="shared" si="10"/>
        <v>0.88962754089721152</v>
      </c>
      <c r="AP40" s="99"/>
      <c r="AQ40" s="109">
        <f>IF(AO40&lt;=1,1,0)</f>
        <v>1</v>
      </c>
      <c r="AR40" s="112">
        <f>AP40+AQ40</f>
        <v>1</v>
      </c>
      <c r="AS40" s="110">
        <v>40525.410400000001</v>
      </c>
      <c r="AT40" s="100">
        <v>45573.536</v>
      </c>
      <c r="AU40" s="107">
        <f t="shared" si="24"/>
        <v>0.88923120646157461</v>
      </c>
      <c r="AV40" s="99"/>
      <c r="AW40" s="109">
        <f>IF(AU40&lt;=1,1,0)</f>
        <v>1</v>
      </c>
      <c r="AX40" s="112">
        <f t="shared" si="11"/>
        <v>1</v>
      </c>
      <c r="AY40" s="91">
        <f t="shared" si="14"/>
        <v>6.5</v>
      </c>
      <c r="AZ40" s="92"/>
      <c r="BA40" s="93">
        <v>77910.8</v>
      </c>
      <c r="BC40" s="94">
        <f t="shared" si="12"/>
        <v>0.76470344084336428</v>
      </c>
      <c r="BD40" s="8">
        <f t="shared" si="26"/>
        <v>0</v>
      </c>
      <c r="BE40" s="95">
        <f t="shared" si="27"/>
        <v>0</v>
      </c>
      <c r="BF40" s="95">
        <f t="shared" si="28"/>
        <v>0</v>
      </c>
      <c r="BG40" s="95">
        <f t="shared" si="29"/>
        <v>1</v>
      </c>
      <c r="BH40" s="8">
        <f t="shared" si="30"/>
        <v>0</v>
      </c>
      <c r="BJ40" s="94">
        <f t="shared" si="13"/>
        <v>0.54871745873643651</v>
      </c>
      <c r="BK40" s="8">
        <f t="shared" si="31"/>
        <v>0</v>
      </c>
      <c r="BL40" s="95">
        <f t="shared" si="32"/>
        <v>0</v>
      </c>
      <c r="BM40" s="95">
        <f t="shared" si="33"/>
        <v>0</v>
      </c>
      <c r="BN40" s="95">
        <f t="shared" si="34"/>
        <v>1</v>
      </c>
      <c r="BO40" s="8">
        <f t="shared" si="35"/>
        <v>0</v>
      </c>
    </row>
    <row r="41" spans="1:67" x14ac:dyDescent="0.25">
      <c r="A41" s="114" t="s">
        <v>104</v>
      </c>
      <c r="B41" s="127">
        <v>19500</v>
      </c>
      <c r="C41" s="127">
        <v>-4100.95856</v>
      </c>
      <c r="D41" s="127">
        <v>22000</v>
      </c>
      <c r="E41" s="75">
        <f>IF(AND(B41=0,D41=0),0,B41/(IF(C41&gt;0,C41,0)+D41))</f>
        <v>0.88636363636363635</v>
      </c>
      <c r="F41" s="115">
        <f t="shared" ref="F41:F42" si="47">IF(E41&lt;1,1,0)</f>
        <v>1</v>
      </c>
      <c r="G41" s="70"/>
      <c r="H41" s="71">
        <f>F41+G41</f>
        <v>1</v>
      </c>
      <c r="I41" s="127">
        <v>19500</v>
      </c>
      <c r="J41" s="128">
        <v>239231.83218999999</v>
      </c>
      <c r="K41" s="74">
        <v>150756.47044999999</v>
      </c>
      <c r="L41" s="127">
        <v>35570</v>
      </c>
      <c r="M41" s="127">
        <v>0</v>
      </c>
      <c r="N41" s="75">
        <f>(I41-M41)/(J41-K41-L41)</f>
        <v>0.36858267968814767</v>
      </c>
      <c r="O41" s="76">
        <f>IF(N41&lt;=1,1,0)</f>
        <v>1</v>
      </c>
      <c r="P41" s="70"/>
      <c r="Q41" s="71">
        <f>O41+P41</f>
        <v>1</v>
      </c>
      <c r="R41" s="129">
        <v>1547.6272099999999</v>
      </c>
      <c r="S41" s="127">
        <v>235130.87362999999</v>
      </c>
      <c r="T41" s="78">
        <v>84790.88003</v>
      </c>
      <c r="U41" s="79">
        <f>R41/(S41-T41)</f>
        <v>1.029418169404525E-2</v>
      </c>
      <c r="V41" s="76">
        <f>IF(U41&lt;=0.15,1,0)</f>
        <v>1</v>
      </c>
      <c r="W41" s="70"/>
      <c r="X41" s="71">
        <f>V41+W41</f>
        <v>1</v>
      </c>
      <c r="Y41" s="127">
        <f>C41</f>
        <v>-4100.95856</v>
      </c>
      <c r="Z41" s="82"/>
      <c r="AA41" s="82">
        <v>-1600.95856</v>
      </c>
      <c r="AB41" s="82"/>
      <c r="AC41" s="82">
        <f t="shared" si="5"/>
        <v>239231.83218999999</v>
      </c>
      <c r="AD41" s="82">
        <f t="shared" si="5"/>
        <v>150756.47044999999</v>
      </c>
      <c r="AE41" s="82">
        <f t="shared" si="5"/>
        <v>35570</v>
      </c>
      <c r="AF41" s="82">
        <f>AC41-AD41-AE41</f>
        <v>52905.361739999993</v>
      </c>
      <c r="AG41" s="82">
        <f>AF41*10%</f>
        <v>5290.5361739999998</v>
      </c>
      <c r="AH41" s="82">
        <f t="shared" si="37"/>
        <v>5290.5361739999998</v>
      </c>
      <c r="AI41" s="130">
        <f>IF((Y41-IF(Z41&gt;0,Z41,0)-IF(AA41&gt;0,AA41,0)-IF(AB41&gt;0,AB41,0))/(AC41-AD41-AE41)&gt;0,(Y41-IF(Z41&gt;0,Z41,0)-IF(AA41&gt;0,AA41,0)-IF(AB41&gt;0,AB41,0))/(AC41-AD41-AE41),0)</f>
        <v>0</v>
      </c>
      <c r="AJ41" s="84">
        <f>IF(AI41&lt;=0.1,1.5,0)</f>
        <v>1.5</v>
      </c>
      <c r="AK41" s="70"/>
      <c r="AL41" s="71">
        <f>AJ41+AK41</f>
        <v>1.5</v>
      </c>
      <c r="AM41" s="131">
        <v>8446.8251</v>
      </c>
      <c r="AN41" s="70">
        <v>10889.2</v>
      </c>
      <c r="AO41" s="88">
        <f>AM41/AN41</f>
        <v>0.77570667266649518</v>
      </c>
      <c r="AP41" s="89">
        <f>IF(AO41&lt;=1,1,0)</f>
        <v>1</v>
      </c>
      <c r="AQ41" s="70"/>
      <c r="AR41" s="90">
        <f>AP41+AQ41</f>
        <v>1</v>
      </c>
      <c r="AS41" s="131">
        <v>21865.186659999999</v>
      </c>
      <c r="AT41" s="70">
        <v>26367.808000000001</v>
      </c>
      <c r="AU41" s="83">
        <f>AS41/AT41</f>
        <v>0.82923793513666355</v>
      </c>
      <c r="AV41" s="89">
        <f>IF(AU41&lt;=1,1,0)</f>
        <v>1</v>
      </c>
      <c r="AW41" s="70"/>
      <c r="AX41" s="90">
        <f>AV41+AW41</f>
        <v>1</v>
      </c>
      <c r="AY41" s="91">
        <f t="shared" si="14"/>
        <v>6.5</v>
      </c>
      <c r="AZ41" s="132"/>
      <c r="BA41" s="93">
        <v>40784.400000000001</v>
      </c>
      <c r="BC41" s="94">
        <f t="shared" si="12"/>
        <v>0.65743955213905747</v>
      </c>
      <c r="BD41" s="8">
        <f t="shared" si="26"/>
        <v>0</v>
      </c>
      <c r="BE41" s="95">
        <f>IF(AND(BC41&gt;10%,BC41&lt;30%),1,0)</f>
        <v>0</v>
      </c>
      <c r="BF41" s="95">
        <f>IF(AND(BC41&gt;30%,BC41&lt;70%),1,0)</f>
        <v>1</v>
      </c>
      <c r="BG41" s="95">
        <f>IF(AND(BC41&gt;70%,BC41&lt;90%),1,0)</f>
        <v>0</v>
      </c>
      <c r="BH41" s="8">
        <f t="shared" si="30"/>
        <v>0</v>
      </c>
      <c r="BJ41" s="94">
        <f t="shared" si="13"/>
        <v>0.49439218634768095</v>
      </c>
      <c r="BK41" s="8">
        <f t="shared" si="31"/>
        <v>0</v>
      </c>
      <c r="BL41" s="95">
        <f>IF(AND(BJ41&gt;5%,BJ41&lt;19.9%),1,0)</f>
        <v>0</v>
      </c>
      <c r="BM41" s="95">
        <f>IF(AND(BJ41&gt;20%,BJ41&lt;49.9%),1,0)</f>
        <v>1</v>
      </c>
      <c r="BN41" s="95">
        <f>IF(AND(BJ41&gt;50%,BJ41&lt;89.9%),1,0)</f>
        <v>0</v>
      </c>
      <c r="BO41" s="8">
        <f>IF((BJ41&gt;=90%),1,0)</f>
        <v>0</v>
      </c>
    </row>
    <row r="42" spans="1:67" ht="13.8" thickBot="1" x14ac:dyDescent="0.3">
      <c r="A42" s="114" t="s">
        <v>105</v>
      </c>
      <c r="B42" s="127">
        <v>5500</v>
      </c>
      <c r="C42" s="127">
        <v>-545.12641000000008</v>
      </c>
      <c r="D42" s="127">
        <v>7000</v>
      </c>
      <c r="E42" s="79">
        <f>IF(AND(B42=0,D42=0),0,B42/(IF(C42&gt;0,C42,0)+D42))</f>
        <v>0.7857142857142857</v>
      </c>
      <c r="F42" s="115">
        <f t="shared" si="47"/>
        <v>1</v>
      </c>
      <c r="G42" s="70"/>
      <c r="H42" s="71">
        <f>F42+G42</f>
        <v>1</v>
      </c>
      <c r="I42" s="127">
        <v>30972.799999999999</v>
      </c>
      <c r="J42" s="128">
        <v>381740.69049000001</v>
      </c>
      <c r="K42" s="74">
        <v>258333.20444999999</v>
      </c>
      <c r="L42" s="127">
        <v>34741</v>
      </c>
      <c r="M42" s="127">
        <v>0</v>
      </c>
      <c r="N42" s="79">
        <f>(I42-M42)/(J42-K42-L42)</f>
        <v>0.34931800484376108</v>
      </c>
      <c r="O42" s="76">
        <f>IF(N42&lt;=1,1,0)</f>
        <v>1</v>
      </c>
      <c r="P42" s="70"/>
      <c r="Q42" s="71">
        <f>O42+P42</f>
        <v>1</v>
      </c>
      <c r="R42" s="133">
        <v>2719.97883</v>
      </c>
      <c r="S42" s="127">
        <v>381195.56407999998</v>
      </c>
      <c r="T42" s="78">
        <v>128895.12929000001</v>
      </c>
      <c r="U42" s="79">
        <f>R42/(S42-T42)</f>
        <v>1.0780714001796907E-2</v>
      </c>
      <c r="V42" s="76">
        <f>IF(U42&lt;=0.15,1,0)</f>
        <v>1</v>
      </c>
      <c r="W42" s="70"/>
      <c r="X42" s="71">
        <f>V42+W42</f>
        <v>1</v>
      </c>
      <c r="Y42" s="127">
        <f>C42</f>
        <v>-545.12641000000008</v>
      </c>
      <c r="Z42" s="82"/>
      <c r="AA42" s="82">
        <v>954.87358999999992</v>
      </c>
      <c r="AB42" s="82"/>
      <c r="AC42" s="82">
        <f t="shared" si="5"/>
        <v>381740.69049000001</v>
      </c>
      <c r="AD42" s="82">
        <f t="shared" si="5"/>
        <v>258333.20444999999</v>
      </c>
      <c r="AE42" s="82">
        <f t="shared" si="5"/>
        <v>34741</v>
      </c>
      <c r="AF42" s="82">
        <f>AC42-AD42-AE42</f>
        <v>88666.486040000018</v>
      </c>
      <c r="AG42" s="82">
        <f>AF42*10%</f>
        <v>8866.6486040000018</v>
      </c>
      <c r="AH42" s="82">
        <f t="shared" si="37"/>
        <v>9821.522194000001</v>
      </c>
      <c r="AI42" s="119">
        <f>IF((Y42-IF(Z42&gt;0,Z42,0)-IF(AA42&gt;0,AA42,0)-IF(AB42&gt;0,AB42,0))/(AC42-AD42-AE42)&gt;0,(Y42-IF(Z42&gt;0,Z42,0)-IF(AA42&gt;0,AA42,0)-IF(AB42&gt;0,AB42,0))/(AC42-AD42-AE42),0)</f>
        <v>0</v>
      </c>
      <c r="AJ42" s="84">
        <f>IF(AI42&lt;=0.1,1.5,0)</f>
        <v>1.5</v>
      </c>
      <c r="AK42" s="70"/>
      <c r="AL42" s="71">
        <f>AJ42+AK42</f>
        <v>1.5</v>
      </c>
      <c r="AM42" s="131">
        <v>8947.3558900000007</v>
      </c>
      <c r="AN42" s="70">
        <v>10889.2</v>
      </c>
      <c r="AO42" s="88">
        <f>AM42/AN42</f>
        <v>0.82167247272526911</v>
      </c>
      <c r="AP42" s="89">
        <f>IF(AO42&lt;=1,1,0)</f>
        <v>1</v>
      </c>
      <c r="AQ42" s="70"/>
      <c r="AR42" s="90">
        <f>AP42+AQ42</f>
        <v>1</v>
      </c>
      <c r="AS42" s="131">
        <v>23323.40208</v>
      </c>
      <c r="AT42" s="70">
        <v>26367.808000000001</v>
      </c>
      <c r="AU42" s="83">
        <f>AS42/AT42</f>
        <v>0.88454080369517252</v>
      </c>
      <c r="AV42" s="89">
        <f>IF(AU42&lt;=1,1,0)</f>
        <v>1</v>
      </c>
      <c r="AW42" s="70"/>
      <c r="AX42" s="90">
        <f>AV42+AW42</f>
        <v>1</v>
      </c>
      <c r="AY42" s="91">
        <f t="shared" si="14"/>
        <v>6.5</v>
      </c>
      <c r="AZ42" s="117"/>
      <c r="BA42" s="93">
        <v>22556.7</v>
      </c>
      <c r="BC42" s="94">
        <f t="shared" si="12"/>
        <v>0.64932551863204291</v>
      </c>
      <c r="BD42" s="8">
        <f t="shared" si="26"/>
        <v>0</v>
      </c>
      <c r="BE42" s="95">
        <f>IF(AND(BC42&gt;10%,BC42&lt;30%),1,0)</f>
        <v>0</v>
      </c>
      <c r="BF42" s="95">
        <f>IF(AND(BC42&gt;30%,BC42&lt;70%),1,0)</f>
        <v>1</v>
      </c>
      <c r="BG42" s="95">
        <f>IF(AND(BC42&gt;70%,BC42&lt;90%),1,0)</f>
        <v>0</v>
      </c>
      <c r="BH42" s="8">
        <f t="shared" si="30"/>
        <v>0</v>
      </c>
      <c r="BJ42" s="94">
        <f t="shared" si="13"/>
        <v>0.22661145296783639</v>
      </c>
      <c r="BK42" s="8">
        <f t="shared" si="31"/>
        <v>0</v>
      </c>
      <c r="BL42" s="95">
        <f>IF(AND(BJ42&gt;5%,BJ42&lt;19.9%),1,0)</f>
        <v>0</v>
      </c>
      <c r="BM42" s="95">
        <f>IF(AND(BJ42&gt;20%,BJ42&lt;49.9%),1,0)</f>
        <v>1</v>
      </c>
      <c r="BN42" s="95">
        <f>IF(AND(BJ42&gt;50%,BJ42&lt;89.9%),1,0)</f>
        <v>0</v>
      </c>
      <c r="BO42" s="8">
        <f>IF((BJ42&gt;=90%),1,0)</f>
        <v>0</v>
      </c>
    </row>
    <row r="43" spans="1:67" ht="14.4" thickTop="1" thickBot="1" x14ac:dyDescent="0.3">
      <c r="A43" s="134" t="s">
        <v>106</v>
      </c>
      <c r="B43" s="135">
        <f>SUM(B10:B42)</f>
        <v>2802759.0372200003</v>
      </c>
      <c r="C43" s="135">
        <f>SUM(C10:C42)</f>
        <v>-7691.9484000000002</v>
      </c>
      <c r="D43" s="135">
        <f>SUM(D10:D42)</f>
        <v>2725299.0372200003</v>
      </c>
      <c r="E43" s="136"/>
      <c r="F43" s="136"/>
      <c r="G43" s="136"/>
      <c r="H43" s="137"/>
      <c r="I43" s="136">
        <f>SUM(I10:I42)</f>
        <v>2547462.9</v>
      </c>
      <c r="J43" s="136">
        <f>SUM(J10:J42)</f>
        <v>26351934.414579995</v>
      </c>
      <c r="K43" s="136">
        <f>SUM(K10:K42)</f>
        <v>18898489.249680001</v>
      </c>
      <c r="L43" s="136">
        <f>SUM(L10:L42)</f>
        <v>2367503</v>
      </c>
      <c r="M43" s="136">
        <f>SUM(M10:M42)</f>
        <v>0</v>
      </c>
      <c r="N43" s="136"/>
      <c r="O43" s="136"/>
      <c r="P43" s="136"/>
      <c r="Q43" s="137"/>
      <c r="R43" s="138">
        <f>SUM(R10:R42)</f>
        <v>186586.93677</v>
      </c>
      <c r="S43" s="136">
        <f>SUM(S10:S42)</f>
        <v>26344242.46618</v>
      </c>
      <c r="T43" s="136">
        <f>SUM(T10:T42)</f>
        <v>9124882.3109700009</v>
      </c>
      <c r="U43" s="136"/>
      <c r="V43" s="136"/>
      <c r="W43" s="136"/>
      <c r="X43" s="137"/>
      <c r="Y43" s="139">
        <f t="shared" ref="Y43:AE43" si="48">SUM(Y10:Y42)</f>
        <v>-7691.9484000000002</v>
      </c>
      <c r="Z43" s="140">
        <f t="shared" si="48"/>
        <v>0</v>
      </c>
      <c r="AA43" s="140">
        <f t="shared" si="48"/>
        <v>-85151.948399999979</v>
      </c>
      <c r="AB43" s="140">
        <f t="shared" si="48"/>
        <v>0</v>
      </c>
      <c r="AC43" s="140">
        <f t="shared" si="48"/>
        <v>26351934.414579995</v>
      </c>
      <c r="AD43" s="140">
        <f t="shared" si="48"/>
        <v>18898489.249680001</v>
      </c>
      <c r="AE43" s="140">
        <f t="shared" si="48"/>
        <v>2367503</v>
      </c>
      <c r="AF43" s="139"/>
      <c r="AG43" s="139"/>
      <c r="AH43" s="139"/>
      <c r="AI43" s="136"/>
      <c r="AJ43" s="136"/>
      <c r="AK43" s="136"/>
      <c r="AL43" s="136"/>
      <c r="AM43" s="140">
        <f>SUM(AM10:AM42)</f>
        <v>749228.73015000008</v>
      </c>
      <c r="AN43" s="140">
        <f>SUM(AN10:AN42)</f>
        <v>819790.54499999993</v>
      </c>
      <c r="AO43" s="136"/>
      <c r="AP43" s="136"/>
      <c r="AQ43" s="136"/>
      <c r="AR43" s="136"/>
      <c r="AS43" s="140">
        <f>SUM(AS10:AS42)</f>
        <v>1607284.3201599999</v>
      </c>
      <c r="AT43" s="140">
        <f>SUM(AT10:AT42)</f>
        <v>1797921.1790000009</v>
      </c>
      <c r="AU43" s="136"/>
      <c r="AV43" s="136"/>
      <c r="AW43" s="136"/>
      <c r="AX43" s="136"/>
      <c r="AY43" s="141"/>
      <c r="AZ43" s="142"/>
      <c r="BA43" s="1"/>
      <c r="BC43" s="143"/>
      <c r="BD43" s="144">
        <f>SUM(BD10:BD42)</f>
        <v>0</v>
      </c>
      <c r="BE43" s="144">
        <f>SUM(BE10:BE42)</f>
        <v>0</v>
      </c>
      <c r="BF43" s="144">
        <f>SUM(BF10:BF42)</f>
        <v>8</v>
      </c>
      <c r="BG43" s="144">
        <f>SUM(BG10:BG42)</f>
        <v>25</v>
      </c>
      <c r="BH43" s="144">
        <f>SUM(BH10:BH42)</f>
        <v>0</v>
      </c>
      <c r="BJ43" s="143"/>
      <c r="BK43" s="144">
        <f>SUM(BK10:BK42)</f>
        <v>0</v>
      </c>
      <c r="BL43" s="144">
        <f>SUM(BL10:BL42)</f>
        <v>1</v>
      </c>
      <c r="BM43" s="144">
        <f>SUM(BM10:BM42)</f>
        <v>13</v>
      </c>
      <c r="BN43" s="144">
        <f>SUM(BN10:BN42)</f>
        <v>18</v>
      </c>
      <c r="BO43" s="144">
        <f>SUM(BO10:BO42)</f>
        <v>1</v>
      </c>
    </row>
    <row r="44" spans="1:67" ht="13.8" thickTop="1" x14ac:dyDescent="0.25">
      <c r="C44" s="145">
        <f>B10-C10-D10</f>
        <v>59004.573609999847</v>
      </c>
      <c r="AY44" s="148"/>
      <c r="AZ44" s="8">
        <f>AZ10+AZ12+AZ13+AZ14+AZ41+AZ42</f>
        <v>0</v>
      </c>
      <c r="BA44" s="8">
        <f>BA10+BA12+BA13+BA14+BA41+BA42</f>
        <v>1173469.4999999998</v>
      </c>
      <c r="BB44" s="8">
        <f>BB10+BB12+BB13+BB14+BB41+BB42</f>
        <v>0</v>
      </c>
    </row>
    <row r="45" spans="1:67" x14ac:dyDescent="0.25">
      <c r="L45" s="10"/>
      <c r="AY45" s="148"/>
      <c r="AZ45" s="8">
        <f>AZ43-AZ44</f>
        <v>0</v>
      </c>
      <c r="BA45" s="8">
        <f>BA43-BA44</f>
        <v>-1173469.4999999998</v>
      </c>
      <c r="BB45" s="8">
        <f>BB43-BB44</f>
        <v>0</v>
      </c>
    </row>
    <row r="46" spans="1:67" x14ac:dyDescent="0.25">
      <c r="L46" s="146"/>
    </row>
    <row r="50" spans="7:7" x14ac:dyDescent="0.25">
      <c r="G50" s="147"/>
    </row>
    <row r="52" spans="7:7" x14ac:dyDescent="0.25">
      <c r="G52" s="147"/>
    </row>
  </sheetData>
  <mergeCells count="14">
    <mergeCell ref="AM4:AR4"/>
    <mergeCell ref="AS4:AX4"/>
    <mergeCell ref="B5:D5"/>
    <mergeCell ref="I5:K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4 кв. (факт)</vt:lpstr>
      <vt:lpstr>'за 4 кв. (факт)'!Заголовки_для_печати</vt:lpstr>
      <vt:lpstr>'за 4 кв. (факт)'!Область_печати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2020-02-03T13:14:29Z</dcterms:created>
  <dcterms:modified xsi:type="dcterms:W3CDTF">2020-02-03T13:20:34Z</dcterms:modified>
</cp:coreProperties>
</file>