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0660" windowHeight="13512"/>
  </bookViews>
  <sheets>
    <sheet name="за 4 кв. (план)" sheetId="1" r:id="rId1"/>
  </sheets>
  <definedNames>
    <definedName name="_xlnm.Print_Titles" localSheetId="0">'за 4 кв. (план)'!$A:$A</definedName>
    <definedName name="_xlnm.Print_Area" localSheetId="0">'за 4 кв. (план)'!$A$1:$AY$40</definedName>
  </definedNames>
  <calcPr calcId="145621" fullCalcOnLoad="1"/>
</workbook>
</file>

<file path=xl/calcChain.xml><?xml version="1.0" encoding="utf-8"?>
<calcChain xmlns="http://schemas.openxmlformats.org/spreadsheetml/2006/main">
  <c r="BO41" i="1" l="1"/>
  <c r="BO42" i="1" s="1"/>
  <c r="BN41" i="1"/>
  <c r="BN42" i="1" s="1"/>
  <c r="BM41" i="1"/>
  <c r="BM42" i="1" s="1"/>
  <c r="BF41" i="1"/>
  <c r="BF42" i="1" s="1"/>
  <c r="AT40" i="1"/>
  <c r="AS40" i="1"/>
  <c r="AN40" i="1"/>
  <c r="AM40" i="1"/>
  <c r="AB40" i="1"/>
  <c r="AA40" i="1"/>
  <c r="Z40" i="1"/>
  <c r="T40" i="1"/>
  <c r="S40" i="1"/>
  <c r="R40" i="1"/>
  <c r="M40" i="1"/>
  <c r="L40" i="1"/>
  <c r="K40" i="1"/>
  <c r="J40" i="1"/>
  <c r="I40" i="1"/>
  <c r="D40" i="1"/>
  <c r="C40" i="1"/>
  <c r="B40" i="1"/>
  <c r="BG39" i="1"/>
  <c r="BL39" i="1" s="1"/>
  <c r="AU39" i="1"/>
  <c r="AW39" i="1" s="1"/>
  <c r="AX39" i="1" s="1"/>
  <c r="AQ39" i="1"/>
  <c r="AR39" i="1" s="1"/>
  <c r="AO39" i="1"/>
  <c r="AE39" i="1"/>
  <c r="AD39" i="1"/>
  <c r="AZ39" i="1" s="1"/>
  <c r="AC39" i="1"/>
  <c r="AF39" i="1" s="1"/>
  <c r="AG39" i="1" s="1"/>
  <c r="AH39" i="1" s="1"/>
  <c r="Y39" i="1"/>
  <c r="U39" i="1"/>
  <c r="W39" i="1" s="1"/>
  <c r="X39" i="1" s="1"/>
  <c r="P39" i="1"/>
  <c r="Q39" i="1" s="1"/>
  <c r="N39" i="1"/>
  <c r="E39" i="1"/>
  <c r="G39" i="1" s="1"/>
  <c r="H39" i="1" s="1"/>
  <c r="BG38" i="1"/>
  <c r="BL38" i="1" s="1"/>
  <c r="AU38" i="1"/>
  <c r="AW38" i="1" s="1"/>
  <c r="AX38" i="1" s="1"/>
  <c r="AQ38" i="1"/>
  <c r="AR38" i="1" s="1"/>
  <c r="AO38" i="1"/>
  <c r="AE38" i="1"/>
  <c r="AZ38" i="1" s="1"/>
  <c r="AD38" i="1"/>
  <c r="AC38" i="1"/>
  <c r="AF38" i="1" s="1"/>
  <c r="AG38" i="1" s="1"/>
  <c r="AH38" i="1" s="1"/>
  <c r="Y38" i="1"/>
  <c r="U38" i="1"/>
  <c r="W38" i="1" s="1"/>
  <c r="X38" i="1" s="1"/>
  <c r="P38" i="1"/>
  <c r="Q38" i="1" s="1"/>
  <c r="N38" i="1"/>
  <c r="E38" i="1"/>
  <c r="G38" i="1" s="1"/>
  <c r="H38" i="1" s="1"/>
  <c r="BI37" i="1"/>
  <c r="BG37" i="1"/>
  <c r="AU37" i="1"/>
  <c r="AV37" i="1" s="1"/>
  <c r="AX37" i="1" s="1"/>
  <c r="AP37" i="1"/>
  <c r="AR37" i="1" s="1"/>
  <c r="AO37" i="1"/>
  <c r="AE37" i="1"/>
  <c r="AZ37" i="1" s="1"/>
  <c r="AD37" i="1"/>
  <c r="AC37" i="1"/>
  <c r="AF37" i="1" s="1"/>
  <c r="AG37" i="1" s="1"/>
  <c r="AH37" i="1" s="1"/>
  <c r="Y37" i="1"/>
  <c r="X37" i="1"/>
  <c r="U37" i="1"/>
  <c r="V37" i="1" s="1"/>
  <c r="O37" i="1"/>
  <c r="Q37" i="1" s="1"/>
  <c r="N37" i="1"/>
  <c r="H37" i="1"/>
  <c r="E37" i="1"/>
  <c r="F37" i="1" s="1"/>
  <c r="BG36" i="1"/>
  <c r="BI36" i="1" s="1"/>
  <c r="AX36" i="1"/>
  <c r="AU36" i="1"/>
  <c r="AW36" i="1" s="1"/>
  <c r="AQ36" i="1"/>
  <c r="AR36" i="1" s="1"/>
  <c r="AO36" i="1"/>
  <c r="AG36" i="1"/>
  <c r="AH36" i="1" s="1"/>
  <c r="AE36" i="1"/>
  <c r="AZ36" i="1" s="1"/>
  <c r="AD36" i="1"/>
  <c r="AC36" i="1"/>
  <c r="AF36" i="1" s="1"/>
  <c r="Y36" i="1"/>
  <c r="U36" i="1"/>
  <c r="W36" i="1" s="1"/>
  <c r="X36" i="1" s="1"/>
  <c r="P36" i="1"/>
  <c r="Q36" i="1" s="1"/>
  <c r="N36" i="1"/>
  <c r="E36" i="1"/>
  <c r="G36" i="1" s="1"/>
  <c r="H36" i="1" s="1"/>
  <c r="BI35" i="1"/>
  <c r="BG35" i="1"/>
  <c r="AU35" i="1"/>
  <c r="AV35" i="1" s="1"/>
  <c r="AX35" i="1" s="1"/>
  <c r="AO35" i="1"/>
  <c r="AP35" i="1" s="1"/>
  <c r="AR35" i="1" s="1"/>
  <c r="AE35" i="1"/>
  <c r="AD35" i="1"/>
  <c r="AZ35" i="1" s="1"/>
  <c r="AC35" i="1"/>
  <c r="Y35" i="1"/>
  <c r="AI35" i="1" s="1"/>
  <c r="AJ35" i="1" s="1"/>
  <c r="AL35" i="1" s="1"/>
  <c r="V35" i="1"/>
  <c r="X35" i="1" s="1"/>
  <c r="U35" i="1"/>
  <c r="N35" i="1"/>
  <c r="O35" i="1" s="1"/>
  <c r="Q35" i="1" s="1"/>
  <c r="F35" i="1"/>
  <c r="H35" i="1" s="1"/>
  <c r="E35" i="1"/>
  <c r="BL34" i="1"/>
  <c r="BJ34" i="1"/>
  <c r="BH34" i="1"/>
  <c r="BG34" i="1"/>
  <c r="BK34" i="1" s="1"/>
  <c r="AW34" i="1"/>
  <c r="AX34" i="1" s="1"/>
  <c r="AU34" i="1"/>
  <c r="AO34" i="1"/>
  <c r="AQ34" i="1" s="1"/>
  <c r="AR34" i="1" s="1"/>
  <c r="AE34" i="1"/>
  <c r="AD34" i="1"/>
  <c r="AF34" i="1" s="1"/>
  <c r="AG34" i="1" s="1"/>
  <c r="AH34" i="1" s="1"/>
  <c r="AC34" i="1"/>
  <c r="Y34" i="1"/>
  <c r="AI34" i="1" s="1"/>
  <c r="AK34" i="1" s="1"/>
  <c r="AL34" i="1" s="1"/>
  <c r="W34" i="1"/>
  <c r="X34" i="1" s="1"/>
  <c r="U34" i="1"/>
  <c r="N34" i="1"/>
  <c r="P34" i="1" s="1"/>
  <c r="Q34" i="1" s="1"/>
  <c r="G34" i="1"/>
  <c r="H34" i="1" s="1"/>
  <c r="E34" i="1"/>
  <c r="BL33" i="1"/>
  <c r="BJ33" i="1"/>
  <c r="BH33" i="1"/>
  <c r="BG33" i="1"/>
  <c r="BK33" i="1" s="1"/>
  <c r="AW33" i="1"/>
  <c r="AX33" i="1" s="1"/>
  <c r="AU33" i="1"/>
  <c r="AO33" i="1"/>
  <c r="AQ33" i="1" s="1"/>
  <c r="AR33" i="1" s="1"/>
  <c r="AE33" i="1"/>
  <c r="AD33" i="1"/>
  <c r="AF33" i="1" s="1"/>
  <c r="AG33" i="1" s="1"/>
  <c r="AH33" i="1" s="1"/>
  <c r="AC33" i="1"/>
  <c r="Y33" i="1"/>
  <c r="AI33" i="1" s="1"/>
  <c r="AK33" i="1" s="1"/>
  <c r="AL33" i="1" s="1"/>
  <c r="W33" i="1"/>
  <c r="X33" i="1" s="1"/>
  <c r="U33" i="1"/>
  <c r="N33" i="1"/>
  <c r="P33" i="1" s="1"/>
  <c r="Q33" i="1" s="1"/>
  <c r="G33" i="1"/>
  <c r="H33" i="1" s="1"/>
  <c r="AY33" i="1" s="1"/>
  <c r="E33" i="1"/>
  <c r="BL32" i="1"/>
  <c r="BJ32" i="1"/>
  <c r="BH32" i="1"/>
  <c r="BG32" i="1"/>
  <c r="BK32" i="1" s="1"/>
  <c r="AW32" i="1"/>
  <c r="AX32" i="1" s="1"/>
  <c r="AU32" i="1"/>
  <c r="AR32" i="1"/>
  <c r="AO32" i="1"/>
  <c r="AQ32" i="1" s="1"/>
  <c r="AE32" i="1"/>
  <c r="AD32" i="1"/>
  <c r="AZ32" i="1" s="1"/>
  <c r="BC32" i="1" s="1"/>
  <c r="AC32" i="1"/>
  <c r="Y32" i="1"/>
  <c r="AI32" i="1" s="1"/>
  <c r="AK32" i="1" s="1"/>
  <c r="AL32" i="1" s="1"/>
  <c r="W32" i="1"/>
  <c r="X32" i="1" s="1"/>
  <c r="U32" i="1"/>
  <c r="N32" i="1"/>
  <c r="P32" i="1" s="1"/>
  <c r="Q32" i="1" s="1"/>
  <c r="G32" i="1"/>
  <c r="H32" i="1" s="1"/>
  <c r="AY32" i="1" s="1"/>
  <c r="E32" i="1"/>
  <c r="BL31" i="1"/>
  <c r="BJ31" i="1"/>
  <c r="BH31" i="1"/>
  <c r="BG31" i="1"/>
  <c r="BK31" i="1" s="1"/>
  <c r="BC31" i="1"/>
  <c r="AW31" i="1"/>
  <c r="AX31" i="1" s="1"/>
  <c r="AU31" i="1"/>
  <c r="AO31" i="1"/>
  <c r="AQ31" i="1" s="1"/>
  <c r="AR31" i="1" s="1"/>
  <c r="AE31" i="1"/>
  <c r="AD31" i="1"/>
  <c r="AZ31" i="1" s="1"/>
  <c r="AC31" i="1"/>
  <c r="Y31" i="1"/>
  <c r="AI31" i="1" s="1"/>
  <c r="AK31" i="1" s="1"/>
  <c r="AL31" i="1" s="1"/>
  <c r="W31" i="1"/>
  <c r="X31" i="1" s="1"/>
  <c r="U31" i="1"/>
  <c r="Q31" i="1"/>
  <c r="N31" i="1"/>
  <c r="P31" i="1" s="1"/>
  <c r="G31" i="1"/>
  <c r="H31" i="1" s="1"/>
  <c r="AY31" i="1" s="1"/>
  <c r="E31" i="1"/>
  <c r="BL30" i="1"/>
  <c r="BJ30" i="1"/>
  <c r="BH30" i="1"/>
  <c r="BG30" i="1"/>
  <c r="BK30" i="1" s="1"/>
  <c r="AW30" i="1"/>
  <c r="AX30" i="1" s="1"/>
  <c r="AU30" i="1"/>
  <c r="AR30" i="1"/>
  <c r="AO30" i="1"/>
  <c r="AQ30" i="1" s="1"/>
  <c r="AE30" i="1"/>
  <c r="AD30" i="1"/>
  <c r="AC30" i="1"/>
  <c r="AF30" i="1" s="1"/>
  <c r="AG30" i="1" s="1"/>
  <c r="AH30" i="1" s="1"/>
  <c r="Y30" i="1"/>
  <c r="U30" i="1"/>
  <c r="W30" i="1" s="1"/>
  <c r="X30" i="1" s="1"/>
  <c r="P30" i="1"/>
  <c r="Q30" i="1" s="1"/>
  <c r="N30" i="1"/>
  <c r="E30" i="1"/>
  <c r="G30" i="1" s="1"/>
  <c r="H30" i="1" s="1"/>
  <c r="BG29" i="1"/>
  <c r="BK29" i="1" s="1"/>
  <c r="AU29" i="1"/>
  <c r="AW29" i="1" s="1"/>
  <c r="AX29" i="1" s="1"/>
  <c r="AQ29" i="1"/>
  <c r="AR29" i="1" s="1"/>
  <c r="AO29" i="1"/>
  <c r="AE29" i="1"/>
  <c r="AZ29" i="1" s="1"/>
  <c r="AD29" i="1"/>
  <c r="AC29" i="1"/>
  <c r="AI29" i="1" s="1"/>
  <c r="AK29" i="1" s="1"/>
  <c r="AL29" i="1" s="1"/>
  <c r="Y29" i="1"/>
  <c r="U29" i="1"/>
  <c r="W29" i="1" s="1"/>
  <c r="X29" i="1" s="1"/>
  <c r="P29" i="1"/>
  <c r="Q29" i="1" s="1"/>
  <c r="N29" i="1"/>
  <c r="E29" i="1"/>
  <c r="G29" i="1" s="1"/>
  <c r="H29" i="1" s="1"/>
  <c r="BG28" i="1"/>
  <c r="BK28" i="1" s="1"/>
  <c r="AU28" i="1"/>
  <c r="AW28" i="1" s="1"/>
  <c r="AX28" i="1" s="1"/>
  <c r="AQ28" i="1"/>
  <c r="AR28" i="1" s="1"/>
  <c r="AO28" i="1"/>
  <c r="AE28" i="1"/>
  <c r="AZ28" i="1" s="1"/>
  <c r="AD28" i="1"/>
  <c r="AC28" i="1"/>
  <c r="AI28" i="1" s="1"/>
  <c r="AK28" i="1" s="1"/>
  <c r="AL28" i="1" s="1"/>
  <c r="Y28" i="1"/>
  <c r="U28" i="1"/>
  <c r="W28" i="1" s="1"/>
  <c r="X28" i="1" s="1"/>
  <c r="P28" i="1"/>
  <c r="Q28" i="1" s="1"/>
  <c r="N28" i="1"/>
  <c r="E28" i="1"/>
  <c r="G28" i="1" s="1"/>
  <c r="H28" i="1" s="1"/>
  <c r="BG27" i="1"/>
  <c r="BK27" i="1" s="1"/>
  <c r="AU27" i="1"/>
  <c r="AW27" i="1" s="1"/>
  <c r="AX27" i="1" s="1"/>
  <c r="AQ27" i="1"/>
  <c r="AR27" i="1" s="1"/>
  <c r="AO27" i="1"/>
  <c r="AE27" i="1"/>
  <c r="AZ27" i="1" s="1"/>
  <c r="AD27" i="1"/>
  <c r="AC27" i="1"/>
  <c r="AI27" i="1" s="1"/>
  <c r="AK27" i="1" s="1"/>
  <c r="AL27" i="1" s="1"/>
  <c r="Y27" i="1"/>
  <c r="U27" i="1"/>
  <c r="W27" i="1" s="1"/>
  <c r="X27" i="1" s="1"/>
  <c r="P27" i="1"/>
  <c r="Q27" i="1" s="1"/>
  <c r="N27" i="1"/>
  <c r="E27" i="1"/>
  <c r="G27" i="1" s="1"/>
  <c r="H27" i="1" s="1"/>
  <c r="BG26" i="1"/>
  <c r="BK26" i="1" s="1"/>
  <c r="AU26" i="1"/>
  <c r="AW26" i="1" s="1"/>
  <c r="AX26" i="1" s="1"/>
  <c r="AQ26" i="1"/>
  <c r="AR26" i="1" s="1"/>
  <c r="AO26" i="1"/>
  <c r="AE26" i="1"/>
  <c r="AZ26" i="1" s="1"/>
  <c r="AD26" i="1"/>
  <c r="AC26" i="1"/>
  <c r="AI26" i="1" s="1"/>
  <c r="AK26" i="1" s="1"/>
  <c r="AL26" i="1" s="1"/>
  <c r="Y26" i="1"/>
  <c r="U26" i="1"/>
  <c r="W26" i="1" s="1"/>
  <c r="X26" i="1" s="1"/>
  <c r="P26" i="1"/>
  <c r="Q26" i="1" s="1"/>
  <c r="N26" i="1"/>
  <c r="E26" i="1"/>
  <c r="G26" i="1" s="1"/>
  <c r="H26" i="1" s="1"/>
  <c r="BG25" i="1"/>
  <c r="BK25" i="1" s="1"/>
  <c r="AU25" i="1"/>
  <c r="AW25" i="1" s="1"/>
  <c r="AX25" i="1" s="1"/>
  <c r="AQ25" i="1"/>
  <c r="AR25" i="1" s="1"/>
  <c r="AO25" i="1"/>
  <c r="AE25" i="1"/>
  <c r="AZ25" i="1" s="1"/>
  <c r="AD25" i="1"/>
  <c r="AC25" i="1"/>
  <c r="AI25" i="1" s="1"/>
  <c r="AK25" i="1" s="1"/>
  <c r="AL25" i="1" s="1"/>
  <c r="Y25" i="1"/>
  <c r="U25" i="1"/>
  <c r="W25" i="1" s="1"/>
  <c r="X25" i="1" s="1"/>
  <c r="P25" i="1"/>
  <c r="Q25" i="1" s="1"/>
  <c r="N25" i="1"/>
  <c r="E25" i="1"/>
  <c r="G25" i="1" s="1"/>
  <c r="H25" i="1" s="1"/>
  <c r="BG24" i="1"/>
  <c r="BK24" i="1" s="1"/>
  <c r="AU24" i="1"/>
  <c r="AW24" i="1" s="1"/>
  <c r="AX24" i="1" s="1"/>
  <c r="AQ24" i="1"/>
  <c r="AR24" i="1" s="1"/>
  <c r="AO24" i="1"/>
  <c r="AE24" i="1"/>
  <c r="AZ24" i="1" s="1"/>
  <c r="AD24" i="1"/>
  <c r="AC24" i="1"/>
  <c r="AI24" i="1" s="1"/>
  <c r="AK24" i="1" s="1"/>
  <c r="AL24" i="1" s="1"/>
  <c r="Y24" i="1"/>
  <c r="U24" i="1"/>
  <c r="W24" i="1" s="1"/>
  <c r="X24" i="1" s="1"/>
  <c r="P24" i="1"/>
  <c r="Q24" i="1" s="1"/>
  <c r="N24" i="1"/>
  <c r="E24" i="1"/>
  <c r="G24" i="1" s="1"/>
  <c r="H24" i="1" s="1"/>
  <c r="BG23" i="1"/>
  <c r="BK23" i="1" s="1"/>
  <c r="AU23" i="1"/>
  <c r="AW23" i="1" s="1"/>
  <c r="AX23" i="1" s="1"/>
  <c r="AQ23" i="1"/>
  <c r="AR23" i="1" s="1"/>
  <c r="AO23" i="1"/>
  <c r="AE23" i="1"/>
  <c r="AZ23" i="1" s="1"/>
  <c r="AD23" i="1"/>
  <c r="AC23" i="1"/>
  <c r="AI23" i="1" s="1"/>
  <c r="AK23" i="1" s="1"/>
  <c r="AL23" i="1" s="1"/>
  <c r="Y23" i="1"/>
  <c r="U23" i="1"/>
  <c r="W23" i="1" s="1"/>
  <c r="X23" i="1" s="1"/>
  <c r="P23" i="1"/>
  <c r="Q23" i="1" s="1"/>
  <c r="N23" i="1"/>
  <c r="E23" i="1"/>
  <c r="G23" i="1" s="1"/>
  <c r="H23" i="1" s="1"/>
  <c r="BG22" i="1"/>
  <c r="BK22" i="1" s="1"/>
  <c r="AU22" i="1"/>
  <c r="AW22" i="1" s="1"/>
  <c r="AX22" i="1" s="1"/>
  <c r="AQ22" i="1"/>
  <c r="AR22" i="1" s="1"/>
  <c r="AO22" i="1"/>
  <c r="AE22" i="1"/>
  <c r="AZ22" i="1" s="1"/>
  <c r="AD22" i="1"/>
  <c r="AC22" i="1"/>
  <c r="AI22" i="1" s="1"/>
  <c r="AK22" i="1" s="1"/>
  <c r="AL22" i="1" s="1"/>
  <c r="Y22" i="1"/>
  <c r="U22" i="1"/>
  <c r="W22" i="1" s="1"/>
  <c r="X22" i="1" s="1"/>
  <c r="P22" i="1"/>
  <c r="Q22" i="1" s="1"/>
  <c r="N22" i="1"/>
  <c r="E22" i="1"/>
  <c r="G22" i="1" s="1"/>
  <c r="H22" i="1" s="1"/>
  <c r="BG21" i="1"/>
  <c r="AX21" i="1"/>
  <c r="AU21" i="1"/>
  <c r="AV21" i="1" s="1"/>
  <c r="AP21" i="1"/>
  <c r="AR21" i="1" s="1"/>
  <c r="AO21" i="1"/>
  <c r="AG21" i="1"/>
  <c r="AH21" i="1" s="1"/>
  <c r="AE21" i="1"/>
  <c r="AZ21" i="1" s="1"/>
  <c r="AD21" i="1"/>
  <c r="AC21" i="1"/>
  <c r="AF21" i="1" s="1"/>
  <c r="Y21" i="1"/>
  <c r="U21" i="1"/>
  <c r="V21" i="1" s="1"/>
  <c r="X21" i="1" s="1"/>
  <c r="O21" i="1"/>
  <c r="Q21" i="1" s="1"/>
  <c r="N21" i="1"/>
  <c r="E21" i="1"/>
  <c r="F21" i="1" s="1"/>
  <c r="H21" i="1" s="1"/>
  <c r="BI20" i="1"/>
  <c r="BG20" i="1"/>
  <c r="AU20" i="1"/>
  <c r="AW20" i="1" s="1"/>
  <c r="AX20" i="1" s="1"/>
  <c r="AQ20" i="1"/>
  <c r="AR20" i="1" s="1"/>
  <c r="AO20" i="1"/>
  <c r="AE20" i="1"/>
  <c r="AZ20" i="1" s="1"/>
  <c r="AD20" i="1"/>
  <c r="AC20" i="1"/>
  <c r="AF20" i="1" s="1"/>
  <c r="AG20" i="1" s="1"/>
  <c r="AH20" i="1" s="1"/>
  <c r="Y20" i="1"/>
  <c r="X20" i="1"/>
  <c r="U20" i="1"/>
  <c r="W20" i="1" s="1"/>
  <c r="P20" i="1"/>
  <c r="Q20" i="1" s="1"/>
  <c r="N20" i="1"/>
  <c r="H20" i="1"/>
  <c r="E20" i="1"/>
  <c r="G20" i="1" s="1"/>
  <c r="BL19" i="1"/>
  <c r="BJ19" i="1"/>
  <c r="BH19" i="1"/>
  <c r="BG19" i="1"/>
  <c r="BK19" i="1" s="1"/>
  <c r="AW19" i="1"/>
  <c r="AX19" i="1" s="1"/>
  <c r="AU19" i="1"/>
  <c r="AR19" i="1"/>
  <c r="AO19" i="1"/>
  <c r="AQ19" i="1" s="1"/>
  <c r="AE19" i="1"/>
  <c r="AD19" i="1"/>
  <c r="AZ19" i="1" s="1"/>
  <c r="BC19" i="1" s="1"/>
  <c r="AC19" i="1"/>
  <c r="Y19" i="1"/>
  <c r="AI19" i="1" s="1"/>
  <c r="AK19" i="1" s="1"/>
  <c r="AL19" i="1" s="1"/>
  <c r="W19" i="1"/>
  <c r="X19" i="1" s="1"/>
  <c r="U19" i="1"/>
  <c r="N19" i="1"/>
  <c r="P19" i="1" s="1"/>
  <c r="Q19" i="1" s="1"/>
  <c r="G19" i="1"/>
  <c r="H19" i="1" s="1"/>
  <c r="AY19" i="1" s="1"/>
  <c r="E19" i="1"/>
  <c r="BL18" i="1"/>
  <c r="BJ18" i="1"/>
  <c r="BH18" i="1"/>
  <c r="BG18" i="1"/>
  <c r="BK18" i="1" s="1"/>
  <c r="BC18" i="1"/>
  <c r="AW18" i="1"/>
  <c r="AX18" i="1" s="1"/>
  <c r="AU18" i="1"/>
  <c r="AO18" i="1"/>
  <c r="AQ18" i="1" s="1"/>
  <c r="AR18" i="1" s="1"/>
  <c r="AE18" i="1"/>
  <c r="AD18" i="1"/>
  <c r="AZ18" i="1" s="1"/>
  <c r="AC18" i="1"/>
  <c r="Y18" i="1"/>
  <c r="AI18" i="1" s="1"/>
  <c r="AK18" i="1" s="1"/>
  <c r="AL18" i="1" s="1"/>
  <c r="W18" i="1"/>
  <c r="X18" i="1" s="1"/>
  <c r="U18" i="1"/>
  <c r="Q18" i="1"/>
  <c r="N18" i="1"/>
  <c r="P18" i="1" s="1"/>
  <c r="G18" i="1"/>
  <c r="H18" i="1" s="1"/>
  <c r="AY18" i="1" s="1"/>
  <c r="E18" i="1"/>
  <c r="BL17" i="1"/>
  <c r="BJ17" i="1"/>
  <c r="BH17" i="1"/>
  <c r="BG17" i="1"/>
  <c r="BK17" i="1" s="1"/>
  <c r="AW17" i="1"/>
  <c r="AX17" i="1" s="1"/>
  <c r="AU17" i="1"/>
  <c r="AR17" i="1"/>
  <c r="AO17" i="1"/>
  <c r="AQ17" i="1" s="1"/>
  <c r="AE17" i="1"/>
  <c r="AD17" i="1"/>
  <c r="AZ17" i="1" s="1"/>
  <c r="BC17" i="1" s="1"/>
  <c r="AC17" i="1"/>
  <c r="Y17" i="1"/>
  <c r="AI17" i="1" s="1"/>
  <c r="AK17" i="1" s="1"/>
  <c r="AL17" i="1" s="1"/>
  <c r="W17" i="1"/>
  <c r="X17" i="1" s="1"/>
  <c r="U17" i="1"/>
  <c r="N17" i="1"/>
  <c r="P17" i="1" s="1"/>
  <c r="Q17" i="1" s="1"/>
  <c r="G17" i="1"/>
  <c r="H17" i="1" s="1"/>
  <c r="AY17" i="1" s="1"/>
  <c r="E17" i="1"/>
  <c r="BL16" i="1"/>
  <c r="BJ16" i="1"/>
  <c r="BH16" i="1"/>
  <c r="BG16" i="1"/>
  <c r="BK16" i="1" s="1"/>
  <c r="BC16" i="1"/>
  <c r="AV16" i="1"/>
  <c r="AX16" i="1" s="1"/>
  <c r="AU16" i="1"/>
  <c r="AO16" i="1"/>
  <c r="AP16" i="1" s="1"/>
  <c r="AR16" i="1" s="1"/>
  <c r="AE16" i="1"/>
  <c r="AD16" i="1"/>
  <c r="AZ16" i="1" s="1"/>
  <c r="AC16" i="1"/>
  <c r="Y16" i="1"/>
  <c r="AI16" i="1" s="1"/>
  <c r="AJ16" i="1" s="1"/>
  <c r="AL16" i="1" s="1"/>
  <c r="V16" i="1"/>
  <c r="X16" i="1" s="1"/>
  <c r="U16" i="1"/>
  <c r="Q16" i="1"/>
  <c r="N16" i="1"/>
  <c r="O16" i="1" s="1"/>
  <c r="F16" i="1"/>
  <c r="H16" i="1" s="1"/>
  <c r="AY16" i="1" s="1"/>
  <c r="E16" i="1"/>
  <c r="BL15" i="1"/>
  <c r="BJ15" i="1"/>
  <c r="BH15" i="1"/>
  <c r="BG15" i="1"/>
  <c r="BK15" i="1" s="1"/>
  <c r="AV15" i="1"/>
  <c r="AX15" i="1" s="1"/>
  <c r="AU15" i="1"/>
  <c r="AR15" i="1"/>
  <c r="AO15" i="1"/>
  <c r="AP15" i="1" s="1"/>
  <c r="AE15" i="1"/>
  <c r="AD15" i="1"/>
  <c r="AZ15" i="1" s="1"/>
  <c r="BC15" i="1" s="1"/>
  <c r="AC15" i="1"/>
  <c r="Y15" i="1"/>
  <c r="AI15" i="1" s="1"/>
  <c r="AJ15" i="1" s="1"/>
  <c r="AL15" i="1" s="1"/>
  <c r="V15" i="1"/>
  <c r="X15" i="1" s="1"/>
  <c r="U15" i="1"/>
  <c r="N15" i="1"/>
  <c r="O15" i="1" s="1"/>
  <c r="Q15" i="1" s="1"/>
  <c r="F15" i="1"/>
  <c r="H15" i="1" s="1"/>
  <c r="AY15" i="1" s="1"/>
  <c r="E15" i="1"/>
  <c r="BL14" i="1"/>
  <c r="BJ14" i="1"/>
  <c r="BH14" i="1"/>
  <c r="BG14" i="1"/>
  <c r="BK14" i="1" s="1"/>
  <c r="BC14" i="1"/>
  <c r="AW14" i="1"/>
  <c r="AX14" i="1" s="1"/>
  <c r="AU14" i="1"/>
  <c r="AO14" i="1"/>
  <c r="AQ14" i="1" s="1"/>
  <c r="AR14" i="1" s="1"/>
  <c r="AE14" i="1"/>
  <c r="AD14" i="1"/>
  <c r="AZ14" i="1" s="1"/>
  <c r="AC14" i="1"/>
  <c r="Y14" i="1"/>
  <c r="AI14" i="1" s="1"/>
  <c r="AK14" i="1" s="1"/>
  <c r="AL14" i="1" s="1"/>
  <c r="W14" i="1"/>
  <c r="X14" i="1" s="1"/>
  <c r="U14" i="1"/>
  <c r="Q14" i="1"/>
  <c r="N14" i="1"/>
  <c r="P14" i="1" s="1"/>
  <c r="G14" i="1"/>
  <c r="H14" i="1" s="1"/>
  <c r="AY14" i="1" s="1"/>
  <c r="E14" i="1"/>
  <c r="BL13" i="1"/>
  <c r="BJ13" i="1"/>
  <c r="BH13" i="1"/>
  <c r="BG13" i="1"/>
  <c r="BK13" i="1" s="1"/>
  <c r="AV13" i="1"/>
  <c r="AX13" i="1" s="1"/>
  <c r="AU13" i="1"/>
  <c r="AR13" i="1"/>
  <c r="AO13" i="1"/>
  <c r="AP13" i="1" s="1"/>
  <c r="AE13" i="1"/>
  <c r="AD13" i="1"/>
  <c r="AZ13" i="1" s="1"/>
  <c r="BC13" i="1" s="1"/>
  <c r="AC13" i="1"/>
  <c r="Y13" i="1"/>
  <c r="AI13" i="1" s="1"/>
  <c r="AJ13" i="1" s="1"/>
  <c r="AL13" i="1" s="1"/>
  <c r="V13" i="1"/>
  <c r="X13" i="1" s="1"/>
  <c r="U13" i="1"/>
  <c r="N13" i="1"/>
  <c r="O13" i="1" s="1"/>
  <c r="Q13" i="1" s="1"/>
  <c r="F13" i="1"/>
  <c r="H13" i="1" s="1"/>
  <c r="AY13" i="1" s="1"/>
  <c r="E13" i="1"/>
  <c r="BL12" i="1"/>
  <c r="BJ12" i="1"/>
  <c r="BH12" i="1"/>
  <c r="BG12" i="1"/>
  <c r="BK12" i="1" s="1"/>
  <c r="BC12" i="1"/>
  <c r="AV12" i="1"/>
  <c r="AX12" i="1" s="1"/>
  <c r="AU12" i="1"/>
  <c r="AO12" i="1"/>
  <c r="AP12" i="1" s="1"/>
  <c r="AR12" i="1" s="1"/>
  <c r="AE12" i="1"/>
  <c r="AD12" i="1"/>
  <c r="AZ12" i="1" s="1"/>
  <c r="AC12" i="1"/>
  <c r="Y12" i="1"/>
  <c r="AI12" i="1" s="1"/>
  <c r="AJ12" i="1" s="1"/>
  <c r="AL12" i="1" s="1"/>
  <c r="V12" i="1"/>
  <c r="X12" i="1" s="1"/>
  <c r="U12" i="1"/>
  <c r="Q12" i="1"/>
  <c r="N12" i="1"/>
  <c r="O12" i="1" s="1"/>
  <c r="F12" i="1"/>
  <c r="H12" i="1" s="1"/>
  <c r="AY12" i="1" s="1"/>
  <c r="E12" i="1"/>
  <c r="BL11" i="1"/>
  <c r="BJ11" i="1"/>
  <c r="BH11" i="1"/>
  <c r="BG11" i="1"/>
  <c r="BK11" i="1" s="1"/>
  <c r="AV11" i="1"/>
  <c r="AX11" i="1" s="1"/>
  <c r="AU11" i="1"/>
  <c r="AR11" i="1"/>
  <c r="AO11" i="1"/>
  <c r="AP11" i="1" s="1"/>
  <c r="AE11" i="1"/>
  <c r="AD11" i="1"/>
  <c r="AZ11" i="1" s="1"/>
  <c r="BC11" i="1" s="1"/>
  <c r="AC11" i="1"/>
  <c r="Y11" i="1"/>
  <c r="AI11" i="1" s="1"/>
  <c r="AJ11" i="1" s="1"/>
  <c r="AL11" i="1" s="1"/>
  <c r="V11" i="1"/>
  <c r="X11" i="1" s="1"/>
  <c r="U11" i="1"/>
  <c r="N11" i="1"/>
  <c r="O11" i="1" s="1"/>
  <c r="Q11" i="1" s="1"/>
  <c r="F11" i="1"/>
  <c r="H11" i="1" s="1"/>
  <c r="AY11" i="1" s="1"/>
  <c r="E11" i="1"/>
  <c r="BL10" i="1"/>
  <c r="BJ10" i="1"/>
  <c r="BH10" i="1"/>
  <c r="BG10" i="1"/>
  <c r="BK10" i="1" s="1"/>
  <c r="BC10" i="1"/>
  <c r="AV10" i="1"/>
  <c r="AX10" i="1" s="1"/>
  <c r="AU10" i="1"/>
  <c r="AO10" i="1"/>
  <c r="AP10" i="1" s="1"/>
  <c r="AR10" i="1" s="1"/>
  <c r="AE10" i="1"/>
  <c r="AD10" i="1"/>
  <c r="AZ10" i="1" s="1"/>
  <c r="AC10" i="1"/>
  <c r="Y10" i="1"/>
  <c r="AI10" i="1" s="1"/>
  <c r="AJ10" i="1" s="1"/>
  <c r="AL10" i="1" s="1"/>
  <c r="V10" i="1"/>
  <c r="X10" i="1" s="1"/>
  <c r="U10" i="1"/>
  <c r="Q10" i="1"/>
  <c r="N10" i="1"/>
  <c r="O10" i="1" s="1"/>
  <c r="F10" i="1"/>
  <c r="H10" i="1" s="1"/>
  <c r="AY10" i="1" s="1"/>
  <c r="E10" i="1"/>
  <c r="BL9" i="1"/>
  <c r="BJ9" i="1"/>
  <c r="BJ40" i="1" s="1"/>
  <c r="BH9" i="1"/>
  <c r="BG9" i="1"/>
  <c r="BG41" i="1" s="1"/>
  <c r="BG42" i="1" s="1"/>
  <c r="AV9" i="1"/>
  <c r="AX9" i="1" s="1"/>
  <c r="AU9" i="1"/>
  <c r="AR9" i="1"/>
  <c r="AO9" i="1"/>
  <c r="AP9" i="1" s="1"/>
  <c r="AE9" i="1"/>
  <c r="AD9" i="1"/>
  <c r="AC9" i="1"/>
  <c r="Y9" i="1"/>
  <c r="V9" i="1"/>
  <c r="X9" i="1" s="1"/>
  <c r="U9" i="1"/>
  <c r="N9" i="1"/>
  <c r="O9" i="1" s="1"/>
  <c r="Q9" i="1" s="1"/>
  <c r="F9" i="1"/>
  <c r="H9" i="1" s="1"/>
  <c r="E9" i="1"/>
  <c r="BE20" i="1" l="1"/>
  <c r="BC20" i="1"/>
  <c r="BA20" i="1"/>
  <c r="BB20" i="1"/>
  <c r="BD20" i="1"/>
  <c r="BD10" i="1"/>
  <c r="BB10" i="1"/>
  <c r="AF10" i="1"/>
  <c r="AG10" i="1" s="1"/>
  <c r="AH10" i="1" s="1"/>
  <c r="BA10" i="1"/>
  <c r="BE10" i="1"/>
  <c r="BD12" i="1"/>
  <c r="BB12" i="1"/>
  <c r="AF12" i="1"/>
  <c r="AG12" i="1" s="1"/>
  <c r="AH12" i="1" s="1"/>
  <c r="BA12" i="1"/>
  <c r="BE12" i="1"/>
  <c r="BD14" i="1"/>
  <c r="BB14" i="1"/>
  <c r="AF14" i="1"/>
  <c r="AG14" i="1" s="1"/>
  <c r="AH14" i="1" s="1"/>
  <c r="BA14" i="1"/>
  <c r="BE14" i="1"/>
  <c r="BD16" i="1"/>
  <c r="BB16" i="1"/>
  <c r="AF16" i="1"/>
  <c r="AG16" i="1" s="1"/>
  <c r="AH16" i="1" s="1"/>
  <c r="BA16" i="1"/>
  <c r="BE16" i="1"/>
  <c r="BD18" i="1"/>
  <c r="BB18" i="1"/>
  <c r="AF18" i="1"/>
  <c r="AG18" i="1" s="1"/>
  <c r="AH18" i="1" s="1"/>
  <c r="BA18" i="1"/>
  <c r="BE18" i="1"/>
  <c r="AI20" i="1"/>
  <c r="AK20" i="1" s="1"/>
  <c r="AL20" i="1" s="1"/>
  <c r="Y40" i="1"/>
  <c r="AI9" i="1"/>
  <c r="AJ9" i="1" s="1"/>
  <c r="AL9" i="1" s="1"/>
  <c r="AY9" i="1" s="1"/>
  <c r="AD40" i="1"/>
  <c r="AZ9" i="1"/>
  <c r="AF9" i="1"/>
  <c r="AG9" i="1" s="1"/>
  <c r="AH9" i="1" s="1"/>
  <c r="BH40" i="1"/>
  <c r="BH41" i="1"/>
  <c r="BL40" i="1"/>
  <c r="BL41" i="1"/>
  <c r="BD11" i="1"/>
  <c r="BB11" i="1"/>
  <c r="AF11" i="1"/>
  <c r="AG11" i="1" s="1"/>
  <c r="AH11" i="1" s="1"/>
  <c r="BA11" i="1"/>
  <c r="BE11" i="1"/>
  <c r="BD13" i="1"/>
  <c r="BB13" i="1"/>
  <c r="AF13" i="1"/>
  <c r="AG13" i="1" s="1"/>
  <c r="AH13" i="1" s="1"/>
  <c r="BA13" i="1"/>
  <c r="BE13" i="1"/>
  <c r="BD15" i="1"/>
  <c r="BB15" i="1"/>
  <c r="AF15" i="1"/>
  <c r="AG15" i="1" s="1"/>
  <c r="AH15" i="1" s="1"/>
  <c r="BA15" i="1"/>
  <c r="BE15" i="1"/>
  <c r="BD17" i="1"/>
  <c r="BB17" i="1"/>
  <c r="AF17" i="1"/>
  <c r="AG17" i="1" s="1"/>
  <c r="AH17" i="1" s="1"/>
  <c r="BA17" i="1"/>
  <c r="BE17" i="1"/>
  <c r="BD19" i="1"/>
  <c r="BB19" i="1"/>
  <c r="AF19" i="1"/>
  <c r="AG19" i="1" s="1"/>
  <c r="AH19" i="1" s="1"/>
  <c r="BA19" i="1"/>
  <c r="BE19" i="1"/>
  <c r="AY20" i="1"/>
  <c r="BE21" i="1"/>
  <c r="BC21" i="1"/>
  <c r="BA21" i="1"/>
  <c r="BD21" i="1"/>
  <c r="BB21" i="1"/>
  <c r="BL21" i="1"/>
  <c r="BJ21" i="1"/>
  <c r="BH21" i="1"/>
  <c r="BK21" i="1"/>
  <c r="BD22" i="1"/>
  <c r="BB22" i="1"/>
  <c r="BE22" i="1"/>
  <c r="BC22" i="1"/>
  <c r="BA22" i="1"/>
  <c r="BD23" i="1"/>
  <c r="BB23" i="1"/>
  <c r="BE23" i="1"/>
  <c r="BC23" i="1"/>
  <c r="BA23" i="1"/>
  <c r="BD24" i="1"/>
  <c r="BB24" i="1"/>
  <c r="BE24" i="1"/>
  <c r="BC24" i="1"/>
  <c r="BA24" i="1"/>
  <c r="BD25" i="1"/>
  <c r="BB25" i="1"/>
  <c r="BE25" i="1"/>
  <c r="BC25" i="1"/>
  <c r="BA25" i="1"/>
  <c r="BD26" i="1"/>
  <c r="BB26" i="1"/>
  <c r="BE26" i="1"/>
  <c r="BC26" i="1"/>
  <c r="BA26" i="1"/>
  <c r="BD27" i="1"/>
  <c r="BB27" i="1"/>
  <c r="BE27" i="1"/>
  <c r="BC27" i="1"/>
  <c r="BA27" i="1"/>
  <c r="BD28" i="1"/>
  <c r="BB28" i="1"/>
  <c r="BE28" i="1"/>
  <c r="BC28" i="1"/>
  <c r="BA28" i="1"/>
  <c r="BD29" i="1"/>
  <c r="BB29" i="1"/>
  <c r="BE29" i="1"/>
  <c r="BC29" i="1"/>
  <c r="BA29" i="1"/>
  <c r="AC40" i="1"/>
  <c r="AE40" i="1"/>
  <c r="BI9" i="1"/>
  <c r="BI40" i="1" s="1"/>
  <c r="BK9" i="1"/>
  <c r="BI10" i="1"/>
  <c r="BI11" i="1"/>
  <c r="BI12" i="1"/>
  <c r="BI13" i="1"/>
  <c r="BI14" i="1"/>
  <c r="BI15" i="1"/>
  <c r="BI16" i="1"/>
  <c r="BI17" i="1"/>
  <c r="BI18" i="1"/>
  <c r="BI19" i="1"/>
  <c r="BL20" i="1"/>
  <c r="BJ20" i="1"/>
  <c r="BH20" i="1"/>
  <c r="BK20" i="1"/>
  <c r="AI21" i="1"/>
  <c r="AJ21" i="1" s="1"/>
  <c r="AL21" i="1" s="1"/>
  <c r="AY21" i="1" s="1"/>
  <c r="BI21" i="1"/>
  <c r="AY22" i="1"/>
  <c r="AY23" i="1"/>
  <c r="AY24" i="1"/>
  <c r="AY25" i="1"/>
  <c r="AY26" i="1"/>
  <c r="AY27" i="1"/>
  <c r="AY28" i="1"/>
  <c r="AY29" i="1"/>
  <c r="AF22" i="1"/>
  <c r="AG22" i="1" s="1"/>
  <c r="AH22" i="1" s="1"/>
  <c r="BH22" i="1"/>
  <c r="BJ22" i="1"/>
  <c r="BL22" i="1"/>
  <c r="AF23" i="1"/>
  <c r="AG23" i="1" s="1"/>
  <c r="AH23" i="1" s="1"/>
  <c r="BH23" i="1"/>
  <c r="BJ23" i="1"/>
  <c r="BL23" i="1"/>
  <c r="AF24" i="1"/>
  <c r="AG24" i="1" s="1"/>
  <c r="AH24" i="1" s="1"/>
  <c r="BH24" i="1"/>
  <c r="BJ24" i="1"/>
  <c r="BL24" i="1"/>
  <c r="AF25" i="1"/>
  <c r="AG25" i="1" s="1"/>
  <c r="AH25" i="1" s="1"/>
  <c r="BH25" i="1"/>
  <c r="BJ25" i="1"/>
  <c r="BL25" i="1"/>
  <c r="AF26" i="1"/>
  <c r="AG26" i="1" s="1"/>
  <c r="AH26" i="1" s="1"/>
  <c r="BH26" i="1"/>
  <c r="BJ26" i="1"/>
  <c r="BL26" i="1"/>
  <c r="AF27" i="1"/>
  <c r="AG27" i="1" s="1"/>
  <c r="AH27" i="1" s="1"/>
  <c r="BH27" i="1"/>
  <c r="BJ27" i="1"/>
  <c r="BL27" i="1"/>
  <c r="AF28" i="1"/>
  <c r="AG28" i="1" s="1"/>
  <c r="AH28" i="1" s="1"/>
  <c r="BH28" i="1"/>
  <c r="BJ28" i="1"/>
  <c r="BL28" i="1"/>
  <c r="AF29" i="1"/>
  <c r="AG29" i="1" s="1"/>
  <c r="AH29" i="1" s="1"/>
  <c r="BH29" i="1"/>
  <c r="BJ29" i="1"/>
  <c r="BL29" i="1"/>
  <c r="AI30" i="1"/>
  <c r="AK30" i="1" s="1"/>
  <c r="AL30" i="1" s="1"/>
  <c r="AY30" i="1" s="1"/>
  <c r="AZ30" i="1"/>
  <c r="BD31" i="1"/>
  <c r="BB31" i="1"/>
  <c r="AF31" i="1"/>
  <c r="AG31" i="1" s="1"/>
  <c r="AH31" i="1" s="1"/>
  <c r="BA31" i="1"/>
  <c r="BE31" i="1"/>
  <c r="BE36" i="1"/>
  <c r="BC36" i="1"/>
  <c r="BA36" i="1"/>
  <c r="BB36" i="1"/>
  <c r="BD36" i="1"/>
  <c r="BE37" i="1"/>
  <c r="BC37" i="1"/>
  <c r="BA37" i="1"/>
  <c r="BD37" i="1"/>
  <c r="BB37" i="1"/>
  <c r="BI22" i="1"/>
  <c r="BI23" i="1"/>
  <c r="BI24" i="1"/>
  <c r="BI25" i="1"/>
  <c r="BI26" i="1"/>
  <c r="BI27" i="1"/>
  <c r="BI28" i="1"/>
  <c r="BI29" i="1"/>
  <c r="BD32" i="1"/>
  <c r="BB32" i="1"/>
  <c r="AF32" i="1"/>
  <c r="AG32" i="1" s="1"/>
  <c r="AH32" i="1" s="1"/>
  <c r="BA32" i="1"/>
  <c r="BE32" i="1"/>
  <c r="AY34" i="1"/>
  <c r="AY35" i="1"/>
  <c r="BE35" i="1"/>
  <c r="BC35" i="1"/>
  <c r="BA35" i="1"/>
  <c r="BD35" i="1"/>
  <c r="BB35" i="1"/>
  <c r="BI30" i="1"/>
  <c r="BI31" i="1"/>
  <c r="BI32" i="1"/>
  <c r="AZ33" i="1"/>
  <c r="BI33" i="1"/>
  <c r="AZ34" i="1"/>
  <c r="BI34" i="1"/>
  <c r="BL35" i="1"/>
  <c r="BJ35" i="1"/>
  <c r="BH35" i="1"/>
  <c r="BK35" i="1"/>
  <c r="AI36" i="1"/>
  <c r="AK36" i="1" s="1"/>
  <c r="AL36" i="1" s="1"/>
  <c r="AY36" i="1" s="1"/>
  <c r="BL37" i="1"/>
  <c r="BJ37" i="1"/>
  <c r="BH37" i="1"/>
  <c r="BK37" i="1"/>
  <c r="BE39" i="1"/>
  <c r="BC39" i="1"/>
  <c r="BA39" i="1"/>
  <c r="BD39" i="1"/>
  <c r="BB39" i="1"/>
  <c r="AF35" i="1"/>
  <c r="AG35" i="1" s="1"/>
  <c r="AH35" i="1" s="1"/>
  <c r="BL36" i="1"/>
  <c r="BJ36" i="1"/>
  <c r="BH36" i="1"/>
  <c r="BK36" i="1"/>
  <c r="AY37" i="1"/>
  <c r="AI37" i="1"/>
  <c r="AJ37" i="1" s="1"/>
  <c r="AL37" i="1" s="1"/>
  <c r="BE38" i="1"/>
  <c r="BC38" i="1"/>
  <c r="BA38" i="1"/>
  <c r="BD38" i="1"/>
  <c r="BB38" i="1"/>
  <c r="AI38" i="1"/>
  <c r="AK38" i="1" s="1"/>
  <c r="AL38" i="1" s="1"/>
  <c r="AY38" i="1" s="1"/>
  <c r="BI38" i="1"/>
  <c r="BK38" i="1"/>
  <c r="AI39" i="1"/>
  <c r="AK39" i="1" s="1"/>
  <c r="AL39" i="1" s="1"/>
  <c r="AY39" i="1" s="1"/>
  <c r="BI39" i="1"/>
  <c r="BK39" i="1"/>
  <c r="BH38" i="1"/>
  <c r="BJ38" i="1"/>
  <c r="BH39" i="1"/>
  <c r="BJ39" i="1"/>
  <c r="BD30" i="1" l="1"/>
  <c r="BB30" i="1"/>
  <c r="BE30" i="1"/>
  <c r="BA30" i="1"/>
  <c r="BC30" i="1"/>
  <c r="BE34" i="1"/>
  <c r="BC34" i="1"/>
  <c r="BA34" i="1"/>
  <c r="BD34" i="1"/>
  <c r="BB34" i="1"/>
  <c r="BE33" i="1"/>
  <c r="BC33" i="1"/>
  <c r="BA33" i="1"/>
  <c r="BD33" i="1"/>
  <c r="BB33" i="1"/>
  <c r="BK41" i="1"/>
  <c r="BK40" i="1"/>
  <c r="BK42" i="1" s="1"/>
  <c r="BL42" i="1"/>
  <c r="BH42" i="1"/>
  <c r="BD9" i="1"/>
  <c r="BB9" i="1"/>
  <c r="BB40" i="1" s="1"/>
  <c r="BE9" i="1"/>
  <c r="BA9" i="1"/>
  <c r="BA40" i="1" s="1"/>
  <c r="BC9" i="1"/>
  <c r="BC40" i="1" s="1"/>
  <c r="BE41" i="1" l="1"/>
  <c r="BE40" i="1"/>
  <c r="BD40" i="1"/>
  <c r="BD41" i="1"/>
  <c r="BE42" i="1" l="1"/>
  <c r="BD42" i="1"/>
</calcChain>
</file>

<file path=xl/sharedStrings.xml><?xml version="1.0" encoding="utf-8"?>
<sst xmlns="http://schemas.openxmlformats.org/spreadsheetml/2006/main" count="154" uniqueCount="110">
  <si>
    <t>Оперативный мониторинг соблюдения бюджетного законодательства и оценки качества организации и осуществления бюджетного процесса муниципальных районов (муниципальных округов, городских округов) в части соответствия требованиям Бюджетного кодекса Российской Федерации по состоянию на 01.01.2022</t>
  </si>
  <si>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</si>
  <si>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</si>
  <si>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</si>
  <si>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</si>
  <si>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</si>
  <si>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</si>
  <si>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</si>
  <si>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</si>
  <si>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</si>
  <si>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</si>
  <si>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</si>
  <si>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</si>
  <si>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</si>
  <si>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</si>
  <si>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</si>
  <si>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</si>
  <si>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</si>
  <si>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</si>
  <si>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</si>
  <si>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</si>
  <si>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</si>
  <si>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</si>
  <si>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</si>
  <si>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</si>
  <si>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</si>
  <si>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</si>
  <si>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</si>
  <si>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</si>
  <si>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</si>
  <si>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</si>
  <si>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</si>
  <si>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</si>
  <si>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</si>
  <si>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</si>
  <si>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</si>
  <si>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</si>
  <si>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</si>
  <si>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</si>
  <si>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</si>
  <si>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</si>
  <si>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</si>
  <si>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</si>
  <si>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</si>
  <si>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</si>
  <si>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</si>
  <si>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</si>
  <si>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</si>
  <si>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</si>
  <si>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</si>
  <si>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</si>
  <si>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</si>
  <si>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</si>
  <si>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</si>
  <si>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</si>
  <si>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</si>
  <si>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</si>
  <si>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</si>
  <si>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</si>
  <si>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</si>
  <si>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</si>
  <si>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</si>
  <si>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</si>
  <si>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</si>
  <si>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Доля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</si>
  <si>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</si>
  <si>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</si>
  <si>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</si>
  <si>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</si>
  <si>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</si>
  <si>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</si>
  <si>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</si>
  <si>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</si>
  <si>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</si>
  <si>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</si>
  <si>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</si>
  <si>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</si>
  <si>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</si>
  <si>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</si>
  <si>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</si>
  <si>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</si>
  <si>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</si>
  <si>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</si>
  <si>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</si>
  <si>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</si>
  <si>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</si>
  <si>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</si>
  <si>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</si>
  <si>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</si>
  <si>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</si>
  <si>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</si>
  <si>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</si>
  <si>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</si>
  <si>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</si>
  <si>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</si>
  <si>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</si>
  <si>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</si>
  <si>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</si>
  <si>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</si>
  <si>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</si>
  <si>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</si>
  <si>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</si>
  <si>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</si>
  <si>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</si>
  <si>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</si>
  <si>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</si>
  <si>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</si>
  <si>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</si>
  <si>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ГО</t>
  </si>
  <si>
    <t>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</si>
</sst>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_р_._-;\-* #,##0_р_._-;_-* &quot;-&quot;??_р_._-;_-@_-"/>
    <numFmt numFmtId="168" formatCode="_-* #,##0.0_р_._-;\-* #,##0.0_р_._-;_-* &quot;-&quot;??_р_._-;_-@_-"/>
    <numFmt numFmtId="169" formatCode="#,##0_ ;[Red]\-#,##0\ "/>
    <numFmt numFmtId="170" formatCode="0.000"/>
    <numFmt numFmtId="171" formatCode="0.0_ ;[Red]\-0.0\ "/>
    <numFmt numFmtId="172" formatCode="0.0%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42"/>
    <xf numFmtId="0" fontId="15" fillId="0" borderId="0"/>
  </cellStyleXfs>
  <cellXfs count="137">
    <xf numFmtId="0" fontId="0" fillId="0" borderId="0" xfId="0"/>
    <xf numFmtId="0" fontId="2" fillId="0" borderId="0" xfId="0" applyFont="1"/>
    <xf numFmtId="49" fontId="3" fillId="0" borderId="0" xfId="1" applyNumberFormat="1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2" fillId="0" borderId="0" xfId="0" applyFont="1" applyAlignment="1"/>
    <xf numFmtId="49" fontId="3" fillId="0" borderId="1" xfId="1" applyNumberFormat="1" applyFont="1" applyBorder="1" applyAlignment="1">
      <alignment horizontal="center" wrapText="1"/>
    </xf>
    <xf numFmtId="0" fontId="0" fillId="0" borderId="0" xfId="0" applyFill="1"/>
    <xf numFmtId="165" fontId="0" fillId="0" borderId="0" xfId="0" applyNumberFormat="1" applyFill="1"/>
    <xf numFmtId="0" fontId="0" fillId="2" borderId="0" xfId="0" applyFill="1"/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0" fillId="6" borderId="0" xfId="0" applyFill="1" applyBorder="1"/>
    <xf numFmtId="0" fontId="4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/>
    <xf numFmtId="0" fontId="6" fillId="7" borderId="12" xfId="0" applyFont="1" applyFill="1" applyBorder="1" applyAlignment="1"/>
    <xf numFmtId="0" fontId="6" fillId="7" borderId="13" xfId="0" applyFont="1" applyFill="1" applyBorder="1" applyAlignment="1"/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7" borderId="15" xfId="0" applyFont="1" applyFill="1" applyBorder="1" applyAlignment="1"/>
    <xf numFmtId="0" fontId="6" fillId="8" borderId="14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3" xfId="0" applyBorder="1"/>
    <xf numFmtId="0" fontId="0" fillId="0" borderId="24" xfId="0" applyFill="1" applyBorder="1"/>
    <xf numFmtId="0" fontId="0" fillId="0" borderId="0" xfId="0" applyFill="1" applyBorder="1"/>
    <xf numFmtId="166" fontId="0" fillId="0" borderId="0" xfId="0" applyNumberFormat="1" applyBorder="1"/>
    <xf numFmtId="0" fontId="0" fillId="0" borderId="24" xfId="0" applyBorder="1"/>
    <xf numFmtId="0" fontId="11" fillId="0" borderId="24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2" fillId="12" borderId="25" xfId="0" applyFont="1" applyFill="1" applyBorder="1" applyAlignment="1">
      <alignment horizontal="center"/>
    </xf>
    <xf numFmtId="0" fontId="12" fillId="12" borderId="20" xfId="0" applyFont="1" applyFill="1" applyBorder="1" applyAlignment="1">
      <alignment horizontal="center"/>
    </xf>
    <xf numFmtId="0" fontId="12" fillId="12" borderId="21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2" xfId="0" applyFont="1" applyFill="1" applyBorder="1" applyAlignment="1">
      <alignment horizontal="center"/>
    </xf>
    <xf numFmtId="0" fontId="6" fillId="12" borderId="20" xfId="0" applyFont="1" applyFill="1" applyBorder="1" applyAlignment="1">
      <alignment horizontal="center"/>
    </xf>
    <xf numFmtId="0" fontId="12" fillId="12" borderId="0" xfId="0" applyFont="1" applyFill="1" applyBorder="1" applyAlignment="1">
      <alignment horizontal="center"/>
    </xf>
    <xf numFmtId="17" fontId="0" fillId="2" borderId="0" xfId="0" applyNumberFormat="1" applyFill="1"/>
    <xf numFmtId="0" fontId="2" fillId="0" borderId="27" xfId="0" applyFont="1" applyBorder="1"/>
    <xf numFmtId="166" fontId="2" fillId="0" borderId="28" xfId="1" applyNumberFormat="1" applyFont="1" applyFill="1" applyBorder="1"/>
    <xf numFmtId="165" fontId="6" fillId="0" borderId="28" xfId="1" applyNumberFormat="1" applyFont="1" applyBorder="1"/>
    <xf numFmtId="167" fontId="2" fillId="0" borderId="29" xfId="1" applyNumberFormat="1" applyFont="1" applyBorder="1"/>
    <xf numFmtId="167" fontId="2" fillId="0" borderId="10" xfId="1" applyNumberFormat="1" applyFont="1" applyBorder="1"/>
    <xf numFmtId="168" fontId="6" fillId="0" borderId="30" xfId="1" applyNumberFormat="1" applyFont="1" applyBorder="1"/>
    <xf numFmtId="165" fontId="2" fillId="0" borderId="28" xfId="1" applyNumberFormat="1" applyFont="1" applyFill="1" applyBorder="1"/>
    <xf numFmtId="4" fontId="2" fillId="0" borderId="29" xfId="1" applyNumberFormat="1" applyFont="1" applyFill="1" applyBorder="1"/>
    <xf numFmtId="166" fontId="2" fillId="2" borderId="28" xfId="1" applyNumberFormat="1" applyFont="1" applyFill="1" applyBorder="1"/>
    <xf numFmtId="165" fontId="6" fillId="0" borderId="28" xfId="1" applyNumberFormat="1" applyFont="1" applyFill="1" applyBorder="1"/>
    <xf numFmtId="166" fontId="2" fillId="0" borderId="31" xfId="1" applyNumberFormat="1" applyFont="1" applyFill="1" applyBorder="1"/>
    <xf numFmtId="169" fontId="2" fillId="0" borderId="10" xfId="1" applyNumberFormat="1" applyFont="1" applyFill="1" applyBorder="1"/>
    <xf numFmtId="166" fontId="2" fillId="0" borderId="10" xfId="1" applyNumberFormat="1" applyFont="1" applyFill="1" applyBorder="1"/>
    <xf numFmtId="166" fontId="2" fillId="0" borderId="10" xfId="1" applyNumberFormat="1" applyFont="1" applyBorder="1"/>
    <xf numFmtId="170" fontId="6" fillId="0" borderId="10" xfId="1" applyNumberFormat="1" applyFont="1" applyBorder="1"/>
    <xf numFmtId="168" fontId="2" fillId="0" borderId="29" xfId="1" applyNumberFormat="1" applyFont="1" applyFill="1" applyBorder="1"/>
    <xf numFmtId="167" fontId="2" fillId="0" borderId="10" xfId="1" applyNumberFormat="1" applyFont="1" applyFill="1" applyBorder="1"/>
    <xf numFmtId="168" fontId="6" fillId="0" borderId="30" xfId="1" applyNumberFormat="1" applyFont="1" applyFill="1" applyBorder="1"/>
    <xf numFmtId="167" fontId="2" fillId="0" borderId="32" xfId="1" applyNumberFormat="1" applyFont="1" applyFill="1" applyBorder="1"/>
    <xf numFmtId="2" fontId="6" fillId="0" borderId="10" xfId="1" applyNumberFormat="1" applyFont="1" applyBorder="1"/>
    <xf numFmtId="168" fontId="2" fillId="0" borderId="29" xfId="1" applyNumberFormat="1" applyFont="1" applyBorder="1"/>
    <xf numFmtId="171" fontId="6" fillId="0" borderId="10" xfId="1" applyNumberFormat="1" applyFont="1" applyBorder="1"/>
    <xf numFmtId="168" fontId="6" fillId="0" borderId="33" xfId="2" applyNumberFormat="1" applyFont="1" applyBorder="1"/>
    <xf numFmtId="172" fontId="1" fillId="2" borderId="0" xfId="3" applyNumberFormat="1" applyFont="1" applyFill="1"/>
    <xf numFmtId="0" fontId="6" fillId="0" borderId="0" xfId="0" applyFont="1"/>
    <xf numFmtId="0" fontId="2" fillId="0" borderId="34" xfId="0" applyFont="1" applyBorder="1"/>
    <xf numFmtId="167" fontId="2" fillId="0" borderId="29" xfId="1" applyNumberFormat="1" applyFont="1" applyFill="1" applyBorder="1"/>
    <xf numFmtId="166" fontId="2" fillId="0" borderId="32" xfId="1" applyNumberFormat="1" applyFont="1" applyFill="1" applyBorder="1"/>
    <xf numFmtId="2" fontId="6" fillId="0" borderId="10" xfId="1" applyNumberFormat="1" applyFont="1" applyFill="1" applyBorder="1"/>
    <xf numFmtId="0" fontId="2" fillId="0" borderId="34" xfId="0" applyFont="1" applyFill="1" applyBorder="1"/>
    <xf numFmtId="170" fontId="6" fillId="0" borderId="10" xfId="1" applyNumberFormat="1" applyFont="1" applyFill="1" applyBorder="1"/>
    <xf numFmtId="168" fontId="2" fillId="0" borderId="10" xfId="1" applyNumberFormat="1" applyFont="1" applyFill="1" applyBorder="1"/>
    <xf numFmtId="171" fontId="6" fillId="0" borderId="10" xfId="1" applyNumberFormat="1" applyFont="1" applyFill="1" applyBorder="1"/>
    <xf numFmtId="166" fontId="2" fillId="0" borderId="28" xfId="1" applyNumberFormat="1" applyFont="1" applyBorder="1"/>
    <xf numFmtId="165" fontId="2" fillId="0" borderId="28" xfId="1" applyNumberFormat="1" applyFont="1" applyBorder="1"/>
    <xf numFmtId="166" fontId="2" fillId="0" borderId="32" xfId="1" applyNumberFormat="1" applyFont="1" applyBorder="1"/>
    <xf numFmtId="170" fontId="6" fillId="2" borderId="10" xfId="1" applyNumberFormat="1" applyFont="1" applyFill="1" applyBorder="1"/>
    <xf numFmtId="167" fontId="2" fillId="0" borderId="32" xfId="1" applyNumberFormat="1" applyFont="1" applyBorder="1"/>
    <xf numFmtId="0" fontId="2" fillId="13" borderId="34" xfId="0" applyFont="1" applyFill="1" applyBorder="1"/>
    <xf numFmtId="166" fontId="2" fillId="13" borderId="28" xfId="1" applyNumberFormat="1" applyFont="1" applyFill="1" applyBorder="1"/>
    <xf numFmtId="165" fontId="6" fillId="13" borderId="28" xfId="1" applyNumberFormat="1" applyFont="1" applyFill="1" applyBorder="1"/>
    <xf numFmtId="167" fontId="2" fillId="13" borderId="29" xfId="1" applyNumberFormat="1" applyFont="1" applyFill="1" applyBorder="1"/>
    <xf numFmtId="167" fontId="2" fillId="13" borderId="10" xfId="1" applyNumberFormat="1" applyFont="1" applyFill="1" applyBorder="1"/>
    <xf numFmtId="168" fontId="6" fillId="13" borderId="30" xfId="1" applyNumberFormat="1" applyFont="1" applyFill="1" applyBorder="1"/>
    <xf numFmtId="165" fontId="2" fillId="13" borderId="28" xfId="1" applyNumberFormat="1" applyFont="1" applyFill="1" applyBorder="1"/>
    <xf numFmtId="4" fontId="2" fillId="13" borderId="29" xfId="1" applyNumberFormat="1" applyFont="1" applyFill="1" applyBorder="1"/>
    <xf numFmtId="166" fontId="2" fillId="13" borderId="14" xfId="1" applyNumberFormat="1" applyFont="1" applyFill="1" applyBorder="1"/>
    <xf numFmtId="166" fontId="2" fillId="13" borderId="10" xfId="1" applyNumberFormat="1" applyFont="1" applyFill="1" applyBorder="1"/>
    <xf numFmtId="170" fontId="6" fillId="13" borderId="10" xfId="1" applyNumberFormat="1" applyFont="1" applyFill="1" applyBorder="1"/>
    <xf numFmtId="168" fontId="2" fillId="13" borderId="29" xfId="1" applyNumberFormat="1" applyFont="1" applyFill="1" applyBorder="1"/>
    <xf numFmtId="168" fontId="2" fillId="13" borderId="10" xfId="1" applyNumberFormat="1" applyFont="1" applyFill="1" applyBorder="1"/>
    <xf numFmtId="167" fontId="2" fillId="13" borderId="32" xfId="1" applyNumberFormat="1" applyFont="1" applyFill="1" applyBorder="1"/>
    <xf numFmtId="2" fontId="6" fillId="13" borderId="10" xfId="1" applyNumberFormat="1" applyFont="1" applyFill="1" applyBorder="1"/>
    <xf numFmtId="171" fontId="6" fillId="13" borderId="10" xfId="1" applyNumberFormat="1" applyFont="1" applyFill="1" applyBorder="1"/>
    <xf numFmtId="168" fontId="6" fillId="13" borderId="33" xfId="2" applyNumberFormat="1" applyFont="1" applyFill="1" applyBorder="1"/>
    <xf numFmtId="166" fontId="2" fillId="13" borderId="32" xfId="1" applyNumberFormat="1" applyFont="1" applyFill="1" applyBorder="1"/>
    <xf numFmtId="172" fontId="1" fillId="0" borderId="0" xfId="3" applyNumberFormat="1" applyFont="1" applyFill="1"/>
    <xf numFmtId="0" fontId="6" fillId="0" borderId="0" xfId="0" applyFont="1" applyFill="1"/>
    <xf numFmtId="0" fontId="6" fillId="12" borderId="35" xfId="0" applyFont="1" applyFill="1" applyBorder="1" applyProtection="1"/>
    <xf numFmtId="168" fontId="6" fillId="12" borderId="36" xfId="1" applyNumberFormat="1" applyFont="1" applyFill="1" applyBorder="1" applyAlignment="1">
      <alignment horizontal="center"/>
    </xf>
    <xf numFmtId="167" fontId="6" fillId="12" borderId="37" xfId="1" applyNumberFormat="1" applyFont="1" applyFill="1" applyBorder="1" applyAlignment="1">
      <alignment horizontal="center"/>
    </xf>
    <xf numFmtId="167" fontId="6" fillId="12" borderId="38" xfId="1" applyNumberFormat="1" applyFont="1" applyFill="1" applyBorder="1" applyAlignment="1">
      <alignment horizontal="center"/>
    </xf>
    <xf numFmtId="168" fontId="6" fillId="12" borderId="37" xfId="1" applyNumberFormat="1" applyFont="1" applyFill="1" applyBorder="1" applyAlignment="1">
      <alignment horizontal="center"/>
    </xf>
    <xf numFmtId="168" fontId="6" fillId="12" borderId="39" xfId="1" applyNumberFormat="1" applyFont="1" applyFill="1" applyBorder="1" applyAlignment="1">
      <alignment horizontal="center"/>
    </xf>
    <xf numFmtId="168" fontId="6" fillId="12" borderId="40" xfId="1" applyNumberFormat="1" applyFont="1" applyFill="1" applyBorder="1" applyAlignment="1">
      <alignment horizontal="center"/>
    </xf>
    <xf numFmtId="167" fontId="6" fillId="12" borderId="40" xfId="1" applyNumberFormat="1" applyFont="1" applyFill="1" applyBorder="1" applyAlignment="1">
      <alignment horizontal="center"/>
    </xf>
    <xf numFmtId="167" fontId="6" fillId="12" borderId="41" xfId="2" applyNumberFormat="1" applyFont="1" applyFill="1" applyBorder="1" applyAlignment="1">
      <alignment horizontal="center"/>
    </xf>
    <xf numFmtId="0" fontId="0" fillId="14" borderId="0" xfId="0" applyFill="1"/>
    <xf numFmtId="0" fontId="13" fillId="14" borderId="0" xfId="0" applyFont="1" applyFill="1"/>
    <xf numFmtId="0" fontId="0" fillId="0" borderId="0" xfId="0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</cellXfs>
  <cellStyles count="6">
    <cellStyle name="xl24" xfId="4"/>
    <cellStyle name="Обычный" xfId="0" builtinId="0"/>
    <cellStyle name="Процентный 2" xfId="3"/>
    <cellStyle name="Стиль 1" xfId="5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3"/>
  <sheetViews>
    <sheetView tabSelected="1" zoomScale="80" zoomScaleNormal="80" zoomScaleSheetLayoutView="70" workbookViewId="0">
      <pane xSplit="1" ySplit="9" topLeftCell="AN10" activePane="bottomRight" state="frozen"/>
      <selection activeCell="A4" sqref="A4:A7"/>
      <selection pane="topRight" activeCell="A4" sqref="A4:A7"/>
      <selection pane="bottomLeft" activeCell="A4" sqref="A4:A7"/>
      <selection pane="bottomRight" activeCell="R5" sqref="R5"/>
    </sheetView>
  </sheetViews>
  <sheetFormatPr defaultColWidth="9.109375" defaultRowHeight="13.2" x14ac:dyDescent="0.25"/>
  <cols>
    <col min="1" max="1" width="32.3320312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21.5546875" customWidth="1"/>
    <col min="7" max="7" width="23.6640625" customWidth="1"/>
    <col min="8" max="8" width="21.55468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22.33203125" customWidth="1"/>
    <col min="16" max="16" width="17.109375" customWidth="1"/>
    <col min="17" max="17" width="19.5546875" customWidth="1"/>
    <col min="18" max="18" width="21.5546875" customWidth="1"/>
    <col min="19" max="19" width="25.33203125" customWidth="1"/>
    <col min="20" max="20" width="23.8867187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5.44140625" customWidth="1"/>
    <col min="26" max="26" width="15.109375" customWidth="1"/>
    <col min="27" max="27" width="14.5546875" customWidth="1"/>
    <col min="28" max="28" width="20.6640625" hidden="1" customWidth="1"/>
    <col min="29" max="29" width="13.5546875" customWidth="1"/>
    <col min="30" max="30" width="13.33203125" customWidth="1"/>
    <col min="31" max="31" width="13" customWidth="1"/>
    <col min="32" max="32" width="15.33203125" hidden="1" customWidth="1"/>
    <col min="33" max="33" width="20.33203125" hidden="1" customWidth="1"/>
    <col min="34" max="34" width="36.5546875" hidden="1" customWidth="1"/>
    <col min="35" max="35" width="25.44140625" customWidth="1"/>
    <col min="36" max="36" width="10.6640625" customWidth="1"/>
    <col min="37" max="37" width="16" customWidth="1"/>
    <col min="38" max="38" width="13.109375" customWidth="1"/>
    <col min="39" max="40" width="23.88671875" customWidth="1"/>
    <col min="41" max="41" width="46" customWidth="1"/>
    <col min="42" max="42" width="16.88671875" customWidth="1"/>
    <col min="43" max="43" width="21.109375" customWidth="1"/>
    <col min="44" max="44" width="20.44140625" customWidth="1"/>
    <col min="45" max="45" width="32" customWidth="1"/>
    <col min="46" max="46" width="27.44140625" customWidth="1"/>
    <col min="47" max="47" width="31.5546875" customWidth="1"/>
    <col min="48" max="48" width="16.88671875" customWidth="1"/>
    <col min="49" max="49" width="24" customWidth="1"/>
    <col min="50" max="50" width="18.5546875" customWidth="1"/>
    <col min="51" max="51" width="17.88671875" customWidth="1"/>
    <col min="52" max="52" width="0" style="11" hidden="1" customWidth="1"/>
    <col min="53" max="53" width="13.88671875" hidden="1" customWidth="1"/>
    <col min="54" max="56" width="0" style="11" hidden="1" customWidth="1"/>
    <col min="57" max="59" width="12.33203125" style="11" hidden="1" customWidth="1"/>
    <col min="60" max="60" width="11" style="11" hidden="1" customWidth="1"/>
    <col min="61" max="63" width="0" style="11" hidden="1" customWidth="1"/>
    <col min="64" max="64" width="12.33203125" style="11" hidden="1" customWidth="1"/>
    <col min="65" max="65" width="12.88671875" style="11" hidden="1" customWidth="1"/>
    <col min="66" max="66" width="13" style="11" hidden="1" customWidth="1"/>
    <col min="67" max="67" width="11" style="11" hidden="1" customWidth="1"/>
    <col min="68" max="16384" width="9.109375" style="11"/>
  </cols>
  <sheetData>
    <row r="1" spans="1:67" s="6" customFormat="1" ht="25.2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1"/>
      <c r="O1" s="1"/>
      <c r="P1" s="1"/>
      <c r="Q1" s="1"/>
      <c r="R1" s="3"/>
      <c r="S1" s="1"/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4"/>
      <c r="AM1" s="4"/>
      <c r="AN1" s="5"/>
      <c r="AO1" s="5"/>
      <c r="AP1" s="5"/>
      <c r="AQ1" s="4"/>
      <c r="AR1" s="1"/>
      <c r="AS1" s="4"/>
      <c r="AT1" s="4"/>
      <c r="AU1" s="5"/>
      <c r="AV1" s="5"/>
      <c r="AW1" s="4"/>
      <c r="AX1" s="1"/>
      <c r="BA1" s="1"/>
    </row>
    <row r="2" spans="1:67" ht="22.2" customHeight="1" thickBot="1" x14ac:dyDescent="0.3">
      <c r="A2" s="7" t="s">
        <v>1</v>
      </c>
      <c r="B2" s="8"/>
      <c r="C2" s="8"/>
      <c r="D2" s="8"/>
      <c r="E2" s="8"/>
      <c r="F2" s="8"/>
      <c r="G2" s="8"/>
      <c r="H2" s="8"/>
      <c r="I2" s="9"/>
      <c r="J2" s="9"/>
      <c r="K2" s="10"/>
      <c r="L2" s="9"/>
      <c r="M2" s="9"/>
      <c r="R2" s="9"/>
      <c r="T2" s="9"/>
      <c r="Y2" s="9"/>
      <c r="AE2" s="9"/>
      <c r="AM2" s="9"/>
      <c r="AN2" s="9"/>
      <c r="AO2" s="9"/>
      <c r="AP2" s="9"/>
      <c r="AQ2" s="9"/>
      <c r="AR2" s="9"/>
      <c r="AS2" s="9"/>
      <c r="AT2" s="9"/>
      <c r="BA2" s="1"/>
    </row>
    <row r="3" spans="1:67" ht="13.8" thickTop="1" x14ac:dyDescent="0.25">
      <c r="A3" s="12" t="s">
        <v>2</v>
      </c>
      <c r="B3" s="13"/>
      <c r="C3" s="14"/>
      <c r="D3" s="14"/>
      <c r="E3" s="14"/>
      <c r="F3" s="14"/>
      <c r="G3" s="14"/>
      <c r="H3" s="15"/>
      <c r="I3" s="16"/>
      <c r="J3" s="17"/>
      <c r="K3" s="17"/>
      <c r="L3" s="17"/>
      <c r="M3" s="17"/>
      <c r="N3" s="17"/>
      <c r="O3" s="17"/>
      <c r="P3" s="17"/>
      <c r="Q3" s="18"/>
      <c r="R3" s="16"/>
      <c r="S3" s="17"/>
      <c r="T3" s="17"/>
      <c r="U3" s="17"/>
      <c r="V3" s="17"/>
      <c r="W3" s="17"/>
      <c r="X3" s="18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9"/>
      <c r="AM3" s="16"/>
      <c r="AN3" s="17"/>
      <c r="AO3" s="17"/>
      <c r="AP3" s="17"/>
      <c r="AQ3" s="17"/>
      <c r="AR3" s="19"/>
      <c r="AS3" s="16"/>
      <c r="AT3" s="17"/>
      <c r="AU3" s="17"/>
      <c r="AV3" s="17"/>
      <c r="AW3" s="17"/>
      <c r="AX3" s="19"/>
      <c r="AY3" s="20"/>
      <c r="AZ3" s="21"/>
      <c r="BA3" s="1"/>
    </row>
    <row r="4" spans="1:67" x14ac:dyDescent="0.25">
      <c r="A4" s="22"/>
      <c r="B4" s="23"/>
      <c r="C4" s="24"/>
      <c r="D4" s="24"/>
      <c r="E4" s="25" t="s">
        <v>3</v>
      </c>
      <c r="F4" s="26"/>
      <c r="G4" s="27"/>
      <c r="H4" s="28"/>
      <c r="I4" s="29"/>
      <c r="J4" s="24"/>
      <c r="K4" s="24"/>
      <c r="L4" s="30"/>
      <c r="M4" s="30"/>
      <c r="N4" s="25" t="s">
        <v>4</v>
      </c>
      <c r="O4" s="26"/>
      <c r="P4" s="27"/>
      <c r="Q4" s="28"/>
      <c r="R4" s="29"/>
      <c r="S4" s="24"/>
      <c r="T4" s="24"/>
      <c r="U4" s="25" t="s">
        <v>5</v>
      </c>
      <c r="V4" s="26"/>
      <c r="W4" s="27"/>
      <c r="X4" s="28"/>
      <c r="Y4" s="31"/>
      <c r="Z4" s="24"/>
      <c r="AA4" s="24"/>
      <c r="AB4" s="30"/>
      <c r="AC4" s="30"/>
      <c r="AD4" s="30"/>
      <c r="AE4" s="30"/>
      <c r="AF4" s="30"/>
      <c r="AG4" s="30"/>
      <c r="AH4" s="30"/>
      <c r="AI4" s="25" t="s">
        <v>6</v>
      </c>
      <c r="AJ4" s="26"/>
      <c r="AK4" s="27"/>
      <c r="AL4" s="32"/>
      <c r="AM4" s="29"/>
      <c r="AN4" s="24"/>
      <c r="AO4" s="25" t="s">
        <v>7</v>
      </c>
      <c r="AP4" s="26"/>
      <c r="AQ4" s="27"/>
      <c r="AR4" s="32"/>
      <c r="AS4" s="29"/>
      <c r="AT4" s="24"/>
      <c r="AU4" s="25" t="s">
        <v>8</v>
      </c>
      <c r="AV4" s="26"/>
      <c r="AW4" s="27"/>
      <c r="AX4" s="32"/>
      <c r="AY4" s="33" t="s">
        <v>9</v>
      </c>
      <c r="AZ4" s="21"/>
      <c r="BA4" s="1"/>
    </row>
    <row r="5" spans="1:67" ht="159.75" customHeight="1" thickBot="1" x14ac:dyDescent="0.3">
      <c r="A5" s="22"/>
      <c r="B5" s="34" t="s">
        <v>10</v>
      </c>
      <c r="C5" s="34" t="s">
        <v>11</v>
      </c>
      <c r="D5" s="34" t="s">
        <v>12</v>
      </c>
      <c r="E5" s="34" t="s">
        <v>13</v>
      </c>
      <c r="F5" s="35" t="s">
        <v>14</v>
      </c>
      <c r="G5" s="35" t="s">
        <v>15</v>
      </c>
      <c r="H5" s="36" t="s">
        <v>16</v>
      </c>
      <c r="I5" s="34" t="s">
        <v>17</v>
      </c>
      <c r="J5" s="34" t="s">
        <v>18</v>
      </c>
      <c r="K5" s="34" t="s">
        <v>19</v>
      </c>
      <c r="L5" s="34" t="s">
        <v>20</v>
      </c>
      <c r="M5" s="34" t="s">
        <v>21</v>
      </c>
      <c r="N5" s="34" t="s">
        <v>22</v>
      </c>
      <c r="O5" s="35" t="s">
        <v>14</v>
      </c>
      <c r="P5" s="35" t="s">
        <v>15</v>
      </c>
      <c r="Q5" s="36" t="s">
        <v>16</v>
      </c>
      <c r="R5" s="34" t="s">
        <v>23</v>
      </c>
      <c r="S5" s="34" t="s">
        <v>24</v>
      </c>
      <c r="T5" s="34" t="s">
        <v>25</v>
      </c>
      <c r="U5" s="34" t="s">
        <v>26</v>
      </c>
      <c r="V5" s="35" t="s">
        <v>14</v>
      </c>
      <c r="W5" s="35" t="s">
        <v>15</v>
      </c>
      <c r="X5" s="36" t="s">
        <v>16</v>
      </c>
      <c r="Y5" s="34" t="s">
        <v>27</v>
      </c>
      <c r="Z5" s="34" t="s">
        <v>28</v>
      </c>
      <c r="AA5" s="34" t="s">
        <v>29</v>
      </c>
      <c r="AB5" s="34" t="s">
        <v>30</v>
      </c>
      <c r="AC5" s="34" t="s">
        <v>31</v>
      </c>
      <c r="AD5" s="34" t="s">
        <v>32</v>
      </c>
      <c r="AE5" s="34" t="s">
        <v>33</v>
      </c>
      <c r="AF5" s="37" t="s">
        <v>34</v>
      </c>
      <c r="AG5" s="37" t="s">
        <v>35</v>
      </c>
      <c r="AH5" s="37" t="s">
        <v>36</v>
      </c>
      <c r="AI5" s="34" t="s">
        <v>37</v>
      </c>
      <c r="AJ5" s="35" t="s">
        <v>14</v>
      </c>
      <c r="AK5" s="35" t="s">
        <v>15</v>
      </c>
      <c r="AL5" s="35" t="s">
        <v>16</v>
      </c>
      <c r="AM5" s="38" t="s">
        <v>38</v>
      </c>
      <c r="AN5" s="34" t="s">
        <v>39</v>
      </c>
      <c r="AO5" s="34" t="s">
        <v>40</v>
      </c>
      <c r="AP5" s="35" t="s">
        <v>14</v>
      </c>
      <c r="AQ5" s="35" t="s">
        <v>15</v>
      </c>
      <c r="AR5" s="35" t="s">
        <v>16</v>
      </c>
      <c r="AS5" s="34" t="s">
        <v>41</v>
      </c>
      <c r="AT5" s="34" t="s">
        <v>42</v>
      </c>
      <c r="AU5" s="34" t="s">
        <v>43</v>
      </c>
      <c r="AV5" s="35" t="s">
        <v>14</v>
      </c>
      <c r="AW5" s="35" t="s">
        <v>15</v>
      </c>
      <c r="AX5" s="35" t="s">
        <v>16</v>
      </c>
      <c r="AY5" s="38" t="s">
        <v>44</v>
      </c>
      <c r="AZ5" s="39"/>
      <c r="BA5" s="1" t="s">
        <v>45</v>
      </c>
    </row>
    <row r="6" spans="1:67" ht="54" thickTop="1" thickBot="1" x14ac:dyDescent="0.3">
      <c r="A6" s="40"/>
      <c r="B6" s="41" t="s">
        <v>46</v>
      </c>
      <c r="C6" s="41" t="s">
        <v>47</v>
      </c>
      <c r="D6" s="41" t="s">
        <v>48</v>
      </c>
      <c r="E6" s="41" t="s">
        <v>49</v>
      </c>
      <c r="F6" s="41" t="s">
        <v>50</v>
      </c>
      <c r="G6" s="41" t="s">
        <v>50</v>
      </c>
      <c r="H6" s="42">
        <v>1</v>
      </c>
      <c r="I6" s="41" t="s">
        <v>46</v>
      </c>
      <c r="J6" s="41" t="s">
        <v>47</v>
      </c>
      <c r="K6" s="41" t="s">
        <v>48</v>
      </c>
      <c r="L6" s="41" t="s">
        <v>51</v>
      </c>
      <c r="M6" s="41"/>
      <c r="N6" s="41" t="s">
        <v>52</v>
      </c>
      <c r="O6" s="43" t="s">
        <v>50</v>
      </c>
      <c r="P6" s="44" t="s">
        <v>53</v>
      </c>
      <c r="Q6" s="42">
        <v>1</v>
      </c>
      <c r="R6" s="41" t="s">
        <v>46</v>
      </c>
      <c r="S6" s="41" t="s">
        <v>47</v>
      </c>
      <c r="T6" s="41" t="s">
        <v>48</v>
      </c>
      <c r="U6" s="41" t="s">
        <v>54</v>
      </c>
      <c r="V6" s="41" t="s">
        <v>55</v>
      </c>
      <c r="W6" s="41" t="s">
        <v>55</v>
      </c>
      <c r="X6" s="42">
        <v>1</v>
      </c>
      <c r="Y6" s="41" t="s">
        <v>46</v>
      </c>
      <c r="Z6" s="41" t="s">
        <v>47</v>
      </c>
      <c r="AA6" s="41" t="s">
        <v>48</v>
      </c>
      <c r="AB6" s="41" t="s">
        <v>56</v>
      </c>
      <c r="AC6" s="41" t="s">
        <v>51</v>
      </c>
      <c r="AD6" s="41" t="s">
        <v>57</v>
      </c>
      <c r="AE6" s="41" t="s">
        <v>58</v>
      </c>
      <c r="AF6" s="45"/>
      <c r="AG6" s="45"/>
      <c r="AH6" s="45"/>
      <c r="AI6" s="41" t="s">
        <v>59</v>
      </c>
      <c r="AJ6" s="41" t="s">
        <v>60</v>
      </c>
      <c r="AK6" s="41" t="s">
        <v>61</v>
      </c>
      <c r="AL6" s="41">
        <v>1.5</v>
      </c>
      <c r="AM6" s="41" t="s">
        <v>46</v>
      </c>
      <c r="AN6" s="41" t="s">
        <v>47</v>
      </c>
      <c r="AO6" s="41" t="s">
        <v>62</v>
      </c>
      <c r="AP6" s="41" t="s">
        <v>50</v>
      </c>
      <c r="AQ6" s="41" t="s">
        <v>50</v>
      </c>
      <c r="AR6" s="41">
        <v>1</v>
      </c>
      <c r="AS6" s="41" t="s">
        <v>46</v>
      </c>
      <c r="AT6" s="41" t="s">
        <v>47</v>
      </c>
      <c r="AU6" s="41" t="s">
        <v>62</v>
      </c>
      <c r="AV6" s="41" t="s">
        <v>50</v>
      </c>
      <c r="AW6" s="41" t="s">
        <v>50</v>
      </c>
      <c r="AX6" s="41">
        <v>1</v>
      </c>
      <c r="AY6" s="46" t="s">
        <v>46</v>
      </c>
      <c r="AZ6" s="47"/>
      <c r="BA6" s="1"/>
    </row>
    <row r="7" spans="1:67" ht="15" thickTop="1" thickBot="1" x14ac:dyDescent="0.3">
      <c r="A7" s="48"/>
      <c r="B7" s="49" t="s">
        <v>63</v>
      </c>
      <c r="C7" s="49" t="s">
        <v>63</v>
      </c>
      <c r="D7" s="49" t="s">
        <v>63</v>
      </c>
      <c r="E7" s="49"/>
      <c r="F7" s="49"/>
      <c r="G7" s="49"/>
      <c r="H7" s="50"/>
      <c r="I7" s="51"/>
      <c r="J7" s="49"/>
      <c r="K7" s="49"/>
      <c r="L7" s="52"/>
      <c r="M7" s="52"/>
      <c r="N7" s="49"/>
      <c r="O7" s="49"/>
      <c r="P7" s="49"/>
      <c r="Q7" s="50"/>
      <c r="R7" s="51"/>
      <c r="S7" s="49"/>
      <c r="T7" s="49"/>
      <c r="U7" s="49"/>
      <c r="V7" s="49"/>
      <c r="W7" s="49"/>
      <c r="X7" s="50"/>
      <c r="Y7" s="53" t="s">
        <v>63</v>
      </c>
      <c r="Z7" s="49"/>
      <c r="AA7" s="49"/>
      <c r="AB7" s="52"/>
      <c r="AC7" s="53"/>
      <c r="AD7" s="49"/>
      <c r="AE7" s="49"/>
      <c r="AF7" s="49"/>
      <c r="AG7" s="49"/>
      <c r="AH7" s="49"/>
      <c r="AI7" s="49"/>
      <c r="AJ7" s="49"/>
      <c r="AK7" s="49"/>
      <c r="AL7" s="49"/>
      <c r="AM7" s="54"/>
      <c r="AN7" s="49"/>
      <c r="AO7" s="49"/>
      <c r="AP7" s="49"/>
      <c r="AQ7" s="49"/>
      <c r="AR7" s="49"/>
      <c r="AS7" s="54"/>
      <c r="AT7" s="49"/>
      <c r="AU7" s="49"/>
      <c r="AV7" s="49"/>
      <c r="AW7" s="49"/>
      <c r="AX7" s="49"/>
      <c r="AY7" s="55"/>
      <c r="AZ7" s="49"/>
      <c r="BA7" s="1"/>
      <c r="BJ7" s="56" t="s">
        <v>64</v>
      </c>
    </row>
    <row r="8" spans="1:67" ht="14.4" thickTop="1" thickBot="1" x14ac:dyDescent="0.3">
      <c r="A8" s="57"/>
      <c r="B8" s="58"/>
      <c r="C8" s="58"/>
      <c r="D8" s="58"/>
      <c r="E8" s="58"/>
      <c r="F8" s="58"/>
      <c r="G8" s="58"/>
      <c r="H8" s="59"/>
      <c r="I8" s="60"/>
      <c r="J8" s="58"/>
      <c r="K8" s="58"/>
      <c r="L8" s="58"/>
      <c r="M8" s="58"/>
      <c r="N8" s="58"/>
      <c r="O8" s="58"/>
      <c r="P8" s="58"/>
      <c r="Q8" s="59"/>
      <c r="R8" s="60"/>
      <c r="S8" s="58"/>
      <c r="T8" s="58"/>
      <c r="U8" s="58"/>
      <c r="V8" s="58"/>
      <c r="W8" s="58"/>
      <c r="X8" s="59"/>
      <c r="Y8" s="61"/>
      <c r="Z8" s="58"/>
      <c r="AA8" s="58"/>
      <c r="AB8" s="58"/>
      <c r="AC8" s="58"/>
      <c r="AD8" s="58"/>
      <c r="AE8" s="58"/>
      <c r="AF8" s="58"/>
      <c r="AG8" s="58"/>
      <c r="AH8" s="58"/>
      <c r="AI8" s="62" t="s">
        <v>65</v>
      </c>
      <c r="AJ8" s="58"/>
      <c r="AK8" s="58"/>
      <c r="AL8" s="58"/>
      <c r="AM8" s="60"/>
      <c r="AN8" s="58"/>
      <c r="AO8" s="58"/>
      <c r="AP8" s="58"/>
      <c r="AQ8" s="58"/>
      <c r="AR8" s="58"/>
      <c r="AS8" s="60"/>
      <c r="AT8" s="58"/>
      <c r="AU8" s="58"/>
      <c r="AV8" s="58"/>
      <c r="AW8" s="58"/>
      <c r="AX8" s="58"/>
      <c r="AY8" s="60"/>
      <c r="AZ8" s="63"/>
      <c r="BA8" s="1"/>
      <c r="BD8" s="11" t="s">
        <v>66</v>
      </c>
      <c r="BE8" s="64" t="s">
        <v>67</v>
      </c>
      <c r="BF8" s="11" t="s">
        <v>68</v>
      </c>
      <c r="BG8" s="11" t="s">
        <v>69</v>
      </c>
      <c r="BH8" s="11" t="s">
        <v>70</v>
      </c>
      <c r="BJ8" s="56" t="s">
        <v>71</v>
      </c>
      <c r="BK8" s="11" t="s">
        <v>72</v>
      </c>
      <c r="BL8" s="64" t="s">
        <v>73</v>
      </c>
      <c r="BM8" s="11" t="s">
        <v>74</v>
      </c>
      <c r="BN8" s="11" t="s">
        <v>75</v>
      </c>
      <c r="BO8" s="11" t="s">
        <v>70</v>
      </c>
    </row>
    <row r="9" spans="1:67" ht="13.8" thickTop="1" x14ac:dyDescent="0.25">
      <c r="A9" s="65" t="s">
        <v>76</v>
      </c>
      <c r="B9" s="66">
        <v>1994408.166</v>
      </c>
      <c r="C9" s="66">
        <v>237483.54759999999</v>
      </c>
      <c r="D9" s="66">
        <v>1916008.166</v>
      </c>
      <c r="E9" s="67">
        <f>IF(AND(B9=0,D9=0),0,B9/(IF(C9&gt;0,C9,0)+D9))</f>
        <v>0.92612762491941081</v>
      </c>
      <c r="F9" s="68">
        <f>IF(E9&lt;=1.05,1,0)</f>
        <v>1</v>
      </c>
      <c r="G9" s="69"/>
      <c r="H9" s="70">
        <f t="shared" ref="H9:H39" si="0">F9+G9</f>
        <v>1</v>
      </c>
      <c r="I9" s="66">
        <v>2225326.83</v>
      </c>
      <c r="J9" s="71">
        <v>13386657.1</v>
      </c>
      <c r="K9" s="72">
        <v>10101668.09</v>
      </c>
      <c r="L9" s="73">
        <v>191799</v>
      </c>
      <c r="M9" s="73">
        <v>0</v>
      </c>
      <c r="N9" s="74">
        <f>(I9-M9)/(J9-K9-L9)</f>
        <v>0.7194277825822929</v>
      </c>
      <c r="O9" s="68">
        <f t="shared" ref="O9:O15" si="1">IF(N9&lt;=1,1,0)</f>
        <v>1</v>
      </c>
      <c r="P9" s="69"/>
      <c r="Q9" s="70">
        <f t="shared" ref="Q9:Q39" si="2">O9+P9</f>
        <v>1</v>
      </c>
      <c r="R9" s="75">
        <v>144195.7856</v>
      </c>
      <c r="S9" s="66">
        <v>13624140.640000001</v>
      </c>
      <c r="T9" s="72">
        <v>3768140.037</v>
      </c>
      <c r="U9" s="67">
        <f t="shared" ref="U9:U39" si="3">R9/(S9-T9)</f>
        <v>1.4630253325685598E-2</v>
      </c>
      <c r="V9" s="68">
        <f t="shared" ref="V9:V15" si="4">IF(U9&lt;=0.15,1,0)</f>
        <v>1</v>
      </c>
      <c r="W9" s="69"/>
      <c r="X9" s="70">
        <f>V9+W9</f>
        <v>1</v>
      </c>
      <c r="Y9" s="66">
        <f>C9</f>
        <v>237483.54759999999</v>
      </c>
      <c r="Z9" s="76"/>
      <c r="AA9" s="77">
        <v>159083.54759999999</v>
      </c>
      <c r="AB9" s="78"/>
      <c r="AC9" s="78">
        <f t="shared" ref="AC9:AE39" si="5">J9</f>
        <v>13386657.1</v>
      </c>
      <c r="AD9" s="78">
        <f t="shared" si="5"/>
        <v>10101668.09</v>
      </c>
      <c r="AE9" s="78">
        <f t="shared" si="5"/>
        <v>191799</v>
      </c>
      <c r="AF9" s="78">
        <f>AC9-AD9-AE9</f>
        <v>3093190.01</v>
      </c>
      <c r="AG9" s="78">
        <f t="shared" ref="AG9:AG16" si="6">AF9*10%</f>
        <v>309319.00099999999</v>
      </c>
      <c r="AH9" s="78">
        <f t="shared" ref="AH9:AH14" si="7">IF(AA9&gt;0,AA9,0)+AG9+IF(AB9&gt;0,AB9,0)</f>
        <v>468402.54859999998</v>
      </c>
      <c r="AI9" s="79">
        <f t="shared" ref="AI9:AI39" si="8">IF((Y9-IF(Z9&gt;0,Z9,0)-IF(AA9&gt;0,AA9,0)-IF(AB9&gt;0,AB9,0))/(AC9-AD9-AE9)&gt;0,(Y9-IF(Z9&gt;0,Z9,0)-IF(AA9&gt;0,AA9,0)-IF(AB9&gt;0,AB9,0))/(AC9-AD9-AE9),0)</f>
        <v>2.5346001941859372E-2</v>
      </c>
      <c r="AJ9" s="80">
        <f>IF(AI9&lt;=0.1,1.5,0)</f>
        <v>1.5</v>
      </c>
      <c r="AK9" s="81"/>
      <c r="AL9" s="82">
        <f t="shared" ref="AL9:AL39" si="9">AJ9+AK9</f>
        <v>1.5</v>
      </c>
      <c r="AM9" s="83">
        <v>288260.2</v>
      </c>
      <c r="AN9" s="81">
        <v>308985.40000000002</v>
      </c>
      <c r="AO9" s="84">
        <f t="shared" ref="AO9:AO39" si="10">AM9/AN9</f>
        <v>0.93292498609966679</v>
      </c>
      <c r="AP9" s="85">
        <f>IF(AO9&lt;=1,1,0)</f>
        <v>1</v>
      </c>
      <c r="AQ9" s="69"/>
      <c r="AR9" s="86">
        <f>AP9+AQ9</f>
        <v>1</v>
      </c>
      <c r="AS9" s="83">
        <v>569509.69999999995</v>
      </c>
      <c r="AT9" s="81">
        <v>580587.69999999995</v>
      </c>
      <c r="AU9" s="84">
        <f>AS9/AT9</f>
        <v>0.98091933397831199</v>
      </c>
      <c r="AV9" s="85">
        <f>IF(AU9&lt;=1,1,0)</f>
        <v>1</v>
      </c>
      <c r="AW9" s="69"/>
      <c r="AX9" s="86">
        <f t="shared" ref="AX9:AX39" si="11">AV9+AW9</f>
        <v>1</v>
      </c>
      <c r="AY9" s="87">
        <f>H9+Q9+X9+AL9+AR9+AX9</f>
        <v>6.5</v>
      </c>
      <c r="AZ9" s="88">
        <f t="shared" ref="AZ9:AZ39" si="12">(AD9+AE9-T9)/(AC9-T9)</f>
        <v>0.67841300381960967</v>
      </c>
      <c r="BA9" s="11">
        <f>IF(($AZ9&lt;=10%),1,0)</f>
        <v>0</v>
      </c>
      <c r="BB9" s="89">
        <f>IF(AND(AZ9&gt;10%,AZ9&lt;30%),1,0)</f>
        <v>0</v>
      </c>
      <c r="BC9" s="89">
        <f>IF(AND(AZ9&gt;30%,AZ9&lt;70%),1,0)</f>
        <v>1</v>
      </c>
      <c r="BD9" s="89">
        <f>IF(AND(AZ9&gt;70%,AZ9&lt;90%),1,0)</f>
        <v>0</v>
      </c>
      <c r="BE9" s="11">
        <f>IF(($AZ9&gt;=90%),1,0)</f>
        <v>0</v>
      </c>
      <c r="BG9" s="88" t="e">
        <f>(#REF!+L9)/(J9-T9)</f>
        <v>#REF!</v>
      </c>
      <c r="BH9" s="11" t="e">
        <f>IF(($BG9&lt;=4.9%),1,0)</f>
        <v>#REF!</v>
      </c>
      <c r="BI9" s="89" t="e">
        <f>IF(AND(BG9&gt;5%,BG9&lt;19.9%),1,0)</f>
        <v>#REF!</v>
      </c>
      <c r="BJ9" s="89" t="e">
        <f>IF(AND(BG9&gt;20%,BG9&lt;49.9%),1,0)</f>
        <v>#REF!</v>
      </c>
      <c r="BK9" s="89" t="e">
        <f>IF(AND(BG9&gt;50%,BG9&lt;89.9%),1,0)</f>
        <v>#REF!</v>
      </c>
      <c r="BL9" s="11" t="e">
        <f>IF((BG9&gt;=90%),1,0)</f>
        <v>#REF!</v>
      </c>
    </row>
    <row r="10" spans="1:67" x14ac:dyDescent="0.25">
      <c r="A10" s="90" t="s">
        <v>77</v>
      </c>
      <c r="B10" s="66">
        <v>0</v>
      </c>
      <c r="C10" s="66">
        <v>54390.556729999997</v>
      </c>
      <c r="D10" s="66">
        <v>0</v>
      </c>
      <c r="E10" s="67">
        <f t="shared" ref="E10:E39" si="13">IF(AND(B10=0,D10=0),0,B10/(IF(C10&gt;0,C10,0)+D10))</f>
        <v>0</v>
      </c>
      <c r="F10" s="91">
        <f t="shared" ref="F10:F16" si="14">IF(E10&lt;=1.05,1,0)</f>
        <v>1</v>
      </c>
      <c r="G10" s="69"/>
      <c r="H10" s="70">
        <f t="shared" si="0"/>
        <v>1</v>
      </c>
      <c r="I10" s="66">
        <v>49500</v>
      </c>
      <c r="J10" s="71">
        <v>1611966.946</v>
      </c>
      <c r="K10" s="72">
        <v>1118083.047</v>
      </c>
      <c r="L10" s="73">
        <v>217791</v>
      </c>
      <c r="M10" s="73">
        <v>0</v>
      </c>
      <c r="N10" s="67">
        <f t="shared" ref="N10:N39" si="15">(I10-M10)/(J10-K10-L10)</f>
        <v>0.17928747961025976</v>
      </c>
      <c r="O10" s="68">
        <f t="shared" si="1"/>
        <v>1</v>
      </c>
      <c r="P10" s="69"/>
      <c r="Q10" s="70">
        <f t="shared" si="2"/>
        <v>1</v>
      </c>
      <c r="R10" s="92">
        <v>3213.75</v>
      </c>
      <c r="S10" s="66">
        <v>1666357.503</v>
      </c>
      <c r="T10" s="72">
        <v>501088.38250000001</v>
      </c>
      <c r="U10" s="67">
        <f t="shared" si="3"/>
        <v>2.7579465923039535E-3</v>
      </c>
      <c r="V10" s="68">
        <f t="shared" si="4"/>
        <v>1</v>
      </c>
      <c r="W10" s="69"/>
      <c r="X10" s="70">
        <f t="shared" ref="X10:X39" si="16">V10+W10</f>
        <v>1</v>
      </c>
      <c r="Y10" s="66">
        <f t="shared" ref="Y10:Y39" si="17">C10</f>
        <v>54390.556729999997</v>
      </c>
      <c r="Z10" s="77"/>
      <c r="AA10" s="77">
        <v>54390.556729999997</v>
      </c>
      <c r="AB10" s="78"/>
      <c r="AC10" s="78">
        <f t="shared" si="5"/>
        <v>1611966.946</v>
      </c>
      <c r="AD10" s="78">
        <f t="shared" si="5"/>
        <v>1118083.047</v>
      </c>
      <c r="AE10" s="78">
        <f t="shared" si="5"/>
        <v>217791</v>
      </c>
      <c r="AF10" s="78">
        <f t="shared" ref="AF10:AF39" si="18">AC10-AD10-AE10</f>
        <v>276092.89899999998</v>
      </c>
      <c r="AG10" s="78">
        <f t="shared" si="6"/>
        <v>27609.2899</v>
      </c>
      <c r="AH10" s="78">
        <f t="shared" si="7"/>
        <v>81999.84663</v>
      </c>
      <c r="AI10" s="79">
        <f t="shared" si="8"/>
        <v>0</v>
      </c>
      <c r="AJ10" s="80">
        <f t="shared" ref="AJ10:AJ16" si="19">IF(AI10&lt;=0.1,1.5,0)</f>
        <v>1.5</v>
      </c>
      <c r="AK10" s="69"/>
      <c r="AL10" s="70">
        <f t="shared" si="9"/>
        <v>1.5</v>
      </c>
      <c r="AM10" s="83">
        <v>39026.800000000003</v>
      </c>
      <c r="AN10" s="81">
        <v>39848.6</v>
      </c>
      <c r="AO10" s="84">
        <f t="shared" si="10"/>
        <v>0.97937694172442702</v>
      </c>
      <c r="AP10" s="85">
        <f t="shared" ref="AP10:AP16" si="20">IF(AO10&lt;=1,1,0)</f>
        <v>1</v>
      </c>
      <c r="AQ10" s="69"/>
      <c r="AR10" s="86">
        <f t="shared" ref="AR10:AR37" si="21">AP10+AQ10</f>
        <v>1</v>
      </c>
      <c r="AS10" s="83">
        <v>75476</v>
      </c>
      <c r="AT10" s="81">
        <v>89625.5</v>
      </c>
      <c r="AU10" s="84">
        <f t="shared" ref="AU10:AU39" si="22">AS10/AT10</f>
        <v>0.84212640375785908</v>
      </c>
      <c r="AV10" s="85">
        <f t="shared" ref="AV10:AV16" si="23">IF(AU10&lt;=1,1,0)</f>
        <v>1</v>
      </c>
      <c r="AW10" s="69"/>
      <c r="AX10" s="86">
        <f t="shared" si="11"/>
        <v>1</v>
      </c>
      <c r="AY10" s="87">
        <f t="shared" ref="AY10:AY39" si="24">H10+Q10+X10+AL10+AR10+AX10</f>
        <v>6.5</v>
      </c>
      <c r="AZ10" s="88">
        <f t="shared" si="12"/>
        <v>0.75146437417054368</v>
      </c>
      <c r="BA10" s="11">
        <f t="shared" ref="BA10:BA39" si="25">IF(($AZ10&lt;=10%),1,0)</f>
        <v>0</v>
      </c>
      <c r="BB10" s="89">
        <f t="shared" ref="BB10:BB39" si="26">IF(AND(AZ10&gt;10%,AZ10&lt;30%),1,0)</f>
        <v>0</v>
      </c>
      <c r="BC10" s="89">
        <f t="shared" ref="BC10:BC39" si="27">IF(AND(AZ10&gt;30%,AZ10&lt;70%),1,0)</f>
        <v>0</v>
      </c>
      <c r="BD10" s="89">
        <f t="shared" ref="BD10:BD39" si="28">IF(AND(AZ10&gt;70%,AZ10&lt;90%),1,0)</f>
        <v>1</v>
      </c>
      <c r="BE10" s="11">
        <f t="shared" ref="BE10:BE39" si="29">IF(($AZ10&gt;=90%),1,0)</f>
        <v>0</v>
      </c>
      <c r="BG10" s="88" t="e">
        <f>(#REF!+L10)/(J10-T10)</f>
        <v>#REF!</v>
      </c>
      <c r="BH10" s="11" t="e">
        <f t="shared" ref="BH10:BH39" si="30">IF(($BG10&lt;=4.9%),1,0)</f>
        <v>#REF!</v>
      </c>
      <c r="BI10" s="89" t="e">
        <f t="shared" ref="BI10:BI39" si="31">IF(AND(BG10&gt;5%,BG10&lt;19.9%),1,0)</f>
        <v>#REF!</v>
      </c>
      <c r="BJ10" s="89" t="e">
        <f t="shared" ref="BJ10:BJ39" si="32">IF(AND(BG10&gt;20%,BG10&lt;49.9%),1,0)</f>
        <v>#REF!</v>
      </c>
      <c r="BK10" s="89" t="e">
        <f t="shared" ref="BK10:BK39" si="33">IF(AND(BG10&gt;50%,BG10&lt;89.9%),1,0)</f>
        <v>#REF!</v>
      </c>
      <c r="BL10" s="11" t="e">
        <f t="shared" ref="BL10:BL39" si="34">IF((BG10&gt;=90%),1,0)</f>
        <v>#REF!</v>
      </c>
    </row>
    <row r="11" spans="1:67" x14ac:dyDescent="0.25">
      <c r="A11" s="90" t="s">
        <v>78</v>
      </c>
      <c r="B11" s="66">
        <v>41000</v>
      </c>
      <c r="C11" s="66">
        <v>12750.881670000001</v>
      </c>
      <c r="D11" s="66">
        <v>41000</v>
      </c>
      <c r="E11" s="67">
        <f t="shared" si="13"/>
        <v>0.76277818569966538</v>
      </c>
      <c r="F11" s="68">
        <f t="shared" si="14"/>
        <v>1</v>
      </c>
      <c r="G11" s="69"/>
      <c r="H11" s="70">
        <f t="shared" si="0"/>
        <v>1</v>
      </c>
      <c r="I11" s="66">
        <v>41000</v>
      </c>
      <c r="J11" s="71">
        <v>1153188.952</v>
      </c>
      <c r="K11" s="72">
        <v>878290.58689999999</v>
      </c>
      <c r="L11" s="73">
        <v>100572</v>
      </c>
      <c r="M11" s="73">
        <v>0</v>
      </c>
      <c r="N11" s="67">
        <f t="shared" si="15"/>
        <v>0.23519104512091951</v>
      </c>
      <c r="O11" s="68">
        <f t="shared" si="1"/>
        <v>1</v>
      </c>
      <c r="P11" s="69"/>
      <c r="Q11" s="70">
        <f t="shared" si="2"/>
        <v>1</v>
      </c>
      <c r="R11" s="92">
        <v>2934.5</v>
      </c>
      <c r="S11" s="66">
        <v>1165939.8330000001</v>
      </c>
      <c r="T11" s="72">
        <v>416932.86009999999</v>
      </c>
      <c r="U11" s="67">
        <f t="shared" si="3"/>
        <v>3.9178540469900066E-3</v>
      </c>
      <c r="V11" s="68">
        <f t="shared" si="4"/>
        <v>1</v>
      </c>
      <c r="W11" s="69"/>
      <c r="X11" s="70">
        <f t="shared" si="16"/>
        <v>1</v>
      </c>
      <c r="Y11" s="66">
        <f t="shared" si="17"/>
        <v>12750.881670000001</v>
      </c>
      <c r="Z11" s="77"/>
      <c r="AA11" s="77">
        <v>12750.881670000001</v>
      </c>
      <c r="AB11" s="78"/>
      <c r="AC11" s="78">
        <f t="shared" si="5"/>
        <v>1153188.952</v>
      </c>
      <c r="AD11" s="78">
        <f t="shared" si="5"/>
        <v>878290.58689999999</v>
      </c>
      <c r="AE11" s="78">
        <f t="shared" si="5"/>
        <v>100572</v>
      </c>
      <c r="AF11" s="78">
        <f t="shared" si="18"/>
        <v>174326.36510000005</v>
      </c>
      <c r="AG11" s="78">
        <f t="shared" si="6"/>
        <v>17432.636510000008</v>
      </c>
      <c r="AH11" s="78">
        <f t="shared" si="7"/>
        <v>30183.518180000006</v>
      </c>
      <c r="AI11" s="79">
        <f t="shared" si="8"/>
        <v>0</v>
      </c>
      <c r="AJ11" s="80">
        <f t="shared" si="19"/>
        <v>1.5</v>
      </c>
      <c r="AK11" s="69"/>
      <c r="AL11" s="70">
        <f t="shared" si="9"/>
        <v>1.5</v>
      </c>
      <c r="AM11" s="83">
        <v>27456.799999999999</v>
      </c>
      <c r="AN11" s="81">
        <v>29838.799999999999</v>
      </c>
      <c r="AO11" s="93">
        <f t="shared" si="10"/>
        <v>0.9201710524551926</v>
      </c>
      <c r="AP11" s="85">
        <f t="shared" si="20"/>
        <v>1</v>
      </c>
      <c r="AQ11" s="69"/>
      <c r="AR11" s="86">
        <f t="shared" si="21"/>
        <v>1</v>
      </c>
      <c r="AS11" s="83">
        <v>59181.1</v>
      </c>
      <c r="AT11" s="81">
        <v>68219.8</v>
      </c>
      <c r="AU11" s="93">
        <f t="shared" si="22"/>
        <v>0.867506207875133</v>
      </c>
      <c r="AV11" s="85">
        <f t="shared" si="23"/>
        <v>1</v>
      </c>
      <c r="AW11" s="69"/>
      <c r="AX11" s="86">
        <f t="shared" si="11"/>
        <v>1</v>
      </c>
      <c r="AY11" s="87">
        <f t="shared" si="24"/>
        <v>6.5</v>
      </c>
      <c r="AZ11" s="88">
        <f t="shared" si="12"/>
        <v>0.76322591144865193</v>
      </c>
      <c r="BA11" s="11">
        <f t="shared" si="25"/>
        <v>0</v>
      </c>
      <c r="BB11" s="89">
        <f t="shared" si="26"/>
        <v>0</v>
      </c>
      <c r="BC11" s="89">
        <f t="shared" si="27"/>
        <v>0</v>
      </c>
      <c r="BD11" s="89">
        <f t="shared" si="28"/>
        <v>1</v>
      </c>
      <c r="BE11" s="11">
        <f t="shared" si="29"/>
        <v>0</v>
      </c>
      <c r="BG11" s="88" t="e">
        <f>(#REF!+L11)/(J11-T11)</f>
        <v>#REF!</v>
      </c>
      <c r="BH11" s="11" t="e">
        <f t="shared" si="30"/>
        <v>#REF!</v>
      </c>
      <c r="BI11" s="89" t="e">
        <f t="shared" si="31"/>
        <v>#REF!</v>
      </c>
      <c r="BJ11" s="89" t="e">
        <f t="shared" si="32"/>
        <v>#REF!</v>
      </c>
      <c r="BK11" s="89" t="e">
        <f t="shared" si="33"/>
        <v>#REF!</v>
      </c>
      <c r="BL11" s="11" t="e">
        <f t="shared" si="34"/>
        <v>#REF!</v>
      </c>
    </row>
    <row r="12" spans="1:67" s="9" customFormat="1" x14ac:dyDescent="0.25">
      <c r="A12" s="94" t="s">
        <v>79</v>
      </c>
      <c r="B12" s="66">
        <v>7000</v>
      </c>
      <c r="C12" s="66">
        <v>7355.5240100000001</v>
      </c>
      <c r="D12" s="66">
        <v>7000</v>
      </c>
      <c r="E12" s="74">
        <f t="shared" si="13"/>
        <v>0.48761717058352089</v>
      </c>
      <c r="F12" s="68">
        <f t="shared" si="14"/>
        <v>1</v>
      </c>
      <c r="G12" s="81"/>
      <c r="H12" s="82">
        <f t="shared" si="0"/>
        <v>1</v>
      </c>
      <c r="I12" s="66">
        <v>7000</v>
      </c>
      <c r="J12" s="71">
        <v>398820.02029999997</v>
      </c>
      <c r="K12" s="72">
        <v>291229.36780000001</v>
      </c>
      <c r="L12" s="66">
        <v>50031</v>
      </c>
      <c r="M12" s="66">
        <v>0</v>
      </c>
      <c r="N12" s="74">
        <f t="shared" si="15"/>
        <v>0.12161296491496372</v>
      </c>
      <c r="O12" s="68">
        <f t="shared" si="1"/>
        <v>1</v>
      </c>
      <c r="P12" s="81"/>
      <c r="Q12" s="82">
        <f t="shared" si="2"/>
        <v>1</v>
      </c>
      <c r="R12" s="92">
        <v>477.03622000000001</v>
      </c>
      <c r="S12" s="66">
        <v>406175.54430000001</v>
      </c>
      <c r="T12" s="72">
        <v>146311.24290000001</v>
      </c>
      <c r="U12" s="74">
        <f t="shared" si="3"/>
        <v>1.8357127832872855E-3</v>
      </c>
      <c r="V12" s="68">
        <f t="shared" si="4"/>
        <v>1</v>
      </c>
      <c r="W12" s="81"/>
      <c r="X12" s="82">
        <f t="shared" si="16"/>
        <v>1</v>
      </c>
      <c r="Y12" s="66">
        <f t="shared" si="17"/>
        <v>7355.5240100000001</v>
      </c>
      <c r="Z12" s="77"/>
      <c r="AA12" s="77">
        <v>7355.5240100000001</v>
      </c>
      <c r="AB12" s="77"/>
      <c r="AC12" s="77">
        <f t="shared" si="5"/>
        <v>398820.02029999997</v>
      </c>
      <c r="AD12" s="77">
        <f t="shared" si="5"/>
        <v>291229.36780000001</v>
      </c>
      <c r="AE12" s="77">
        <f t="shared" si="5"/>
        <v>50031</v>
      </c>
      <c r="AF12" s="77">
        <f t="shared" si="18"/>
        <v>57559.652499999967</v>
      </c>
      <c r="AG12" s="78">
        <f>AF12*5%</f>
        <v>2877.9826249999987</v>
      </c>
      <c r="AH12" s="77">
        <f t="shared" si="7"/>
        <v>10233.506634999998</v>
      </c>
      <c r="AI12" s="95">
        <f t="shared" si="8"/>
        <v>0</v>
      </c>
      <c r="AJ12" s="80">
        <f t="shared" si="19"/>
        <v>1.5</v>
      </c>
      <c r="AK12" s="96"/>
      <c r="AL12" s="82">
        <f t="shared" si="9"/>
        <v>1.5</v>
      </c>
      <c r="AM12" s="83">
        <v>11379.3</v>
      </c>
      <c r="AN12" s="81">
        <v>11790.6</v>
      </c>
      <c r="AO12" s="93">
        <f t="shared" si="10"/>
        <v>0.96511627906976738</v>
      </c>
      <c r="AP12" s="85">
        <f t="shared" si="20"/>
        <v>1</v>
      </c>
      <c r="AQ12" s="96"/>
      <c r="AR12" s="97">
        <f t="shared" si="21"/>
        <v>1</v>
      </c>
      <c r="AS12" s="83">
        <v>27998.9</v>
      </c>
      <c r="AT12" s="81">
        <v>28550.7</v>
      </c>
      <c r="AU12" s="93">
        <f t="shared" si="22"/>
        <v>0.98067297824571731</v>
      </c>
      <c r="AV12" s="85">
        <f t="shared" si="23"/>
        <v>1</v>
      </c>
      <c r="AW12" s="96"/>
      <c r="AX12" s="97">
        <f t="shared" si="11"/>
        <v>1</v>
      </c>
      <c r="AY12" s="87">
        <f t="shared" si="24"/>
        <v>6.5</v>
      </c>
      <c r="AZ12" s="88">
        <f t="shared" si="12"/>
        <v>0.77204890422949723</v>
      </c>
      <c r="BA12" s="11">
        <f t="shared" si="25"/>
        <v>0</v>
      </c>
      <c r="BB12" s="89">
        <f t="shared" si="26"/>
        <v>0</v>
      </c>
      <c r="BC12" s="89">
        <f t="shared" si="27"/>
        <v>0</v>
      </c>
      <c r="BD12" s="89">
        <f t="shared" si="28"/>
        <v>1</v>
      </c>
      <c r="BE12" s="11">
        <f t="shared" si="29"/>
        <v>0</v>
      </c>
      <c r="BG12" s="88" t="e">
        <f>(#REF!+L12)/(J12-T12)</f>
        <v>#REF!</v>
      </c>
      <c r="BH12" s="11" t="e">
        <f t="shared" si="30"/>
        <v>#REF!</v>
      </c>
      <c r="BI12" s="89" t="e">
        <f t="shared" si="31"/>
        <v>#REF!</v>
      </c>
      <c r="BJ12" s="89" t="e">
        <f t="shared" si="32"/>
        <v>#REF!</v>
      </c>
      <c r="BK12" s="89" t="e">
        <f t="shared" si="33"/>
        <v>#REF!</v>
      </c>
      <c r="BL12" s="11" t="e">
        <f t="shared" si="34"/>
        <v>#REF!</v>
      </c>
    </row>
    <row r="13" spans="1:67" x14ac:dyDescent="0.25">
      <c r="A13" s="90" t="s">
        <v>80</v>
      </c>
      <c r="B13" s="98">
        <v>19500</v>
      </c>
      <c r="C13" s="98">
        <v>4276.6050299999997</v>
      </c>
      <c r="D13" s="98">
        <v>19500</v>
      </c>
      <c r="E13" s="74">
        <f>IF(AND(B13=0,D13=0),0,B13/(IF(C13&gt;0,C13,0)+D13))</f>
        <v>0.82013390790636354</v>
      </c>
      <c r="F13" s="68">
        <f>IF(E13&lt;=1.05,1,0)</f>
        <v>1</v>
      </c>
      <c r="G13" s="69"/>
      <c r="H13" s="70">
        <f>F13+G13</f>
        <v>1</v>
      </c>
      <c r="I13" s="66">
        <v>19500</v>
      </c>
      <c r="J13" s="99">
        <v>295285.65759999998</v>
      </c>
      <c r="K13" s="72">
        <v>208631.60459999999</v>
      </c>
      <c r="L13" s="98">
        <v>39516</v>
      </c>
      <c r="M13" s="98">
        <v>0</v>
      </c>
      <c r="N13" s="74">
        <f>(I13-M13)/(J13-K13-L13)</f>
        <v>0.41367851998469274</v>
      </c>
      <c r="O13" s="68">
        <f>IF(N13&lt;=1,1,0)</f>
        <v>1</v>
      </c>
      <c r="P13" s="69"/>
      <c r="Q13" s="70">
        <f>O13+P13</f>
        <v>1</v>
      </c>
      <c r="R13" s="100">
        <v>1279.3989999999999</v>
      </c>
      <c r="S13" s="98">
        <v>299562.26260000002</v>
      </c>
      <c r="T13" s="72">
        <v>106851.99679999999</v>
      </c>
      <c r="U13" s="67">
        <f>R13/(S13-T13)</f>
        <v>6.6389768842298998E-3</v>
      </c>
      <c r="V13" s="68">
        <f>IF(U13&lt;=0.15,1,0)</f>
        <v>1</v>
      </c>
      <c r="W13" s="69"/>
      <c r="X13" s="70">
        <f>V13+W13</f>
        <v>1</v>
      </c>
      <c r="Y13" s="98">
        <f>C13</f>
        <v>4276.6050299999997</v>
      </c>
      <c r="Z13" s="78"/>
      <c r="AA13" s="78">
        <v>4276.6050299999997</v>
      </c>
      <c r="AB13" s="78"/>
      <c r="AC13" s="78">
        <f t="shared" si="5"/>
        <v>295285.65759999998</v>
      </c>
      <c r="AD13" s="78">
        <f t="shared" si="5"/>
        <v>208631.60459999999</v>
      </c>
      <c r="AE13" s="78">
        <f t="shared" si="5"/>
        <v>39516</v>
      </c>
      <c r="AF13" s="78">
        <f>AC13-AD13-AE13</f>
        <v>47138.052999999985</v>
      </c>
      <c r="AG13" s="78">
        <f>AF13*10%</f>
        <v>4713.8052999999991</v>
      </c>
      <c r="AH13" s="78">
        <f>IF(AA13&gt;0,AA13,0)+AG13+IF(AB13&gt;0,AB13,0)</f>
        <v>8990.4103299999988</v>
      </c>
      <c r="AI13" s="101">
        <f>IF((Y13-IF(Z13&gt;0,Z13,0)-IF(AA13&gt;0,AA13,0)-IF(AB13&gt;0,AB13,0))/(AC13-AD13-AE13)&gt;0,(Y13-IF(Z13&gt;0,Z13,0)-IF(AA13&gt;0,AA13,0)-IF(AB13&gt;0,AB13,0))/(AC13-AD13-AE13),0)</f>
        <v>0</v>
      </c>
      <c r="AJ13" s="80">
        <f>IF(AI13&lt;=0.1,1.5,0)</f>
        <v>1.5</v>
      </c>
      <c r="AK13" s="69"/>
      <c r="AL13" s="70">
        <f>AJ13+AK13</f>
        <v>1.5</v>
      </c>
      <c r="AM13" s="102">
        <v>10685.3</v>
      </c>
      <c r="AN13" s="69">
        <v>11790.6</v>
      </c>
      <c r="AO13" s="84">
        <f>AM13/AN13</f>
        <v>0.90625583091615347</v>
      </c>
      <c r="AP13" s="85">
        <f>IF(AO13&lt;=1,1,0)</f>
        <v>1</v>
      </c>
      <c r="AQ13" s="69"/>
      <c r="AR13" s="86">
        <f>AP13+AQ13</f>
        <v>1</v>
      </c>
      <c r="AS13" s="102">
        <v>24663.5</v>
      </c>
      <c r="AT13" s="69">
        <v>28550.7</v>
      </c>
      <c r="AU13" s="84">
        <f>AS13/AT13</f>
        <v>0.86384922261100427</v>
      </c>
      <c r="AV13" s="85">
        <f>IF(AU13&lt;=1,1,0)</f>
        <v>1</v>
      </c>
      <c r="AW13" s="69"/>
      <c r="AX13" s="86">
        <f>AV13+AW13</f>
        <v>1</v>
      </c>
      <c r="AY13" s="87">
        <f t="shared" si="24"/>
        <v>6.5</v>
      </c>
      <c r="AZ13" s="88">
        <f t="shared" si="12"/>
        <v>0.74984271493811583</v>
      </c>
      <c r="BA13" s="11">
        <f>IF(($AZ13&lt;=10%),1,0)</f>
        <v>0</v>
      </c>
      <c r="BB13" s="89">
        <f>IF(AND(AZ13&gt;10%,AZ13&lt;30%),1,0)</f>
        <v>0</v>
      </c>
      <c r="BC13" s="89">
        <f>IF(AND(AZ13&gt;30%,AZ13&lt;70%),1,0)</f>
        <v>0</v>
      </c>
      <c r="BD13" s="89">
        <f>IF(AND(AZ13&gt;70%,AZ13&lt;90%),1,0)</f>
        <v>1</v>
      </c>
      <c r="BE13" s="11">
        <f>IF(($AZ13&gt;=90%),1,0)</f>
        <v>0</v>
      </c>
      <c r="BG13" s="88" t="e">
        <f>(#REF!+L13)/(J13-T13)</f>
        <v>#REF!</v>
      </c>
      <c r="BH13" s="11" t="e">
        <f>IF(($BG13&lt;=4.9%),1,0)</f>
        <v>#REF!</v>
      </c>
      <c r="BI13" s="89" t="e">
        <f>IF(AND(BG13&gt;5%,BG13&lt;19.9%),1,0)</f>
        <v>#REF!</v>
      </c>
      <c r="BJ13" s="89" t="e">
        <f>IF(AND(BG13&gt;20%,BG13&lt;49.9%),1,0)</f>
        <v>#REF!</v>
      </c>
      <c r="BK13" s="89" t="e">
        <f>IF(AND(BG13&gt;50%,BG13&lt;89.9%),1,0)</f>
        <v>#REF!</v>
      </c>
      <c r="BL13" s="11" t="e">
        <f>IF((BG13&gt;=90%),1,0)</f>
        <v>#REF!</v>
      </c>
    </row>
    <row r="14" spans="1:67" s="9" customFormat="1" x14ac:dyDescent="0.25">
      <c r="A14" s="103" t="s">
        <v>81</v>
      </c>
      <c r="B14" s="104">
        <v>0</v>
      </c>
      <c r="C14" s="104">
        <v>6554.6447500000004</v>
      </c>
      <c r="D14" s="104">
        <v>0</v>
      </c>
      <c r="E14" s="105">
        <f t="shared" si="13"/>
        <v>0</v>
      </c>
      <c r="F14" s="106"/>
      <c r="G14" s="107">
        <f>IF(E14&lt;=1.05,1,0)</f>
        <v>1</v>
      </c>
      <c r="H14" s="108">
        <f t="shared" si="0"/>
        <v>1</v>
      </c>
      <c r="I14" s="104">
        <v>0</v>
      </c>
      <c r="J14" s="109">
        <v>499084.15529999998</v>
      </c>
      <c r="K14" s="110">
        <v>377720.89390000002</v>
      </c>
      <c r="L14" s="104">
        <v>70823</v>
      </c>
      <c r="M14" s="104">
        <v>0</v>
      </c>
      <c r="N14" s="105">
        <f t="shared" si="15"/>
        <v>0</v>
      </c>
      <c r="O14" s="106"/>
      <c r="P14" s="107">
        <f>IF(N14&lt;=0.5,1,0)</f>
        <v>1</v>
      </c>
      <c r="Q14" s="108">
        <f t="shared" si="2"/>
        <v>1</v>
      </c>
      <c r="R14" s="111">
        <v>0</v>
      </c>
      <c r="S14" s="104">
        <v>505638.80009999999</v>
      </c>
      <c r="T14" s="110">
        <v>159592.35060000001</v>
      </c>
      <c r="U14" s="105">
        <f t="shared" si="3"/>
        <v>0</v>
      </c>
      <c r="V14" s="106"/>
      <c r="W14" s="107">
        <f>IF(U14&lt;=0.15,1,0)</f>
        <v>1</v>
      </c>
      <c r="X14" s="108">
        <f t="shared" si="16"/>
        <v>1</v>
      </c>
      <c r="Y14" s="104">
        <f t="shared" si="17"/>
        <v>6554.6447500000004</v>
      </c>
      <c r="Z14" s="112"/>
      <c r="AA14" s="112">
        <v>6554.6447500000004</v>
      </c>
      <c r="AB14" s="112"/>
      <c r="AC14" s="112">
        <f t="shared" si="5"/>
        <v>499084.15529999998</v>
      </c>
      <c r="AD14" s="112">
        <f t="shared" si="5"/>
        <v>377720.89390000002</v>
      </c>
      <c r="AE14" s="112">
        <f t="shared" si="5"/>
        <v>70823</v>
      </c>
      <c r="AF14" s="112">
        <f t="shared" si="18"/>
        <v>50540.261399999959</v>
      </c>
      <c r="AG14" s="112">
        <f>AF14*5%</f>
        <v>2527.0130699999982</v>
      </c>
      <c r="AH14" s="112">
        <f t="shared" si="7"/>
        <v>9081.6578199999985</v>
      </c>
      <c r="AI14" s="113">
        <f t="shared" si="8"/>
        <v>0</v>
      </c>
      <c r="AJ14" s="114"/>
      <c r="AK14" s="115">
        <f>IF(AI14&lt;=0.05,1.5,0)</f>
        <v>1.5</v>
      </c>
      <c r="AL14" s="108">
        <f t="shared" si="9"/>
        <v>1.5</v>
      </c>
      <c r="AM14" s="116">
        <v>12137.6</v>
      </c>
      <c r="AN14" s="107">
        <v>15096.2</v>
      </c>
      <c r="AO14" s="117">
        <f t="shared" si="10"/>
        <v>0.80401690491646904</v>
      </c>
      <c r="AP14" s="114"/>
      <c r="AQ14" s="115">
        <f>IF(AO14&lt;=1,1,0)</f>
        <v>1</v>
      </c>
      <c r="AR14" s="118">
        <f t="shared" si="21"/>
        <v>1</v>
      </c>
      <c r="AS14" s="116">
        <v>35841.300000000003</v>
      </c>
      <c r="AT14" s="107">
        <v>37466.9</v>
      </c>
      <c r="AU14" s="117">
        <f t="shared" si="22"/>
        <v>0.95661236985178921</v>
      </c>
      <c r="AV14" s="114"/>
      <c r="AW14" s="115">
        <f>IF(AU14&lt;=1,1,0)</f>
        <v>1</v>
      </c>
      <c r="AX14" s="118">
        <f t="shared" si="11"/>
        <v>1</v>
      </c>
      <c r="AY14" s="119">
        <f t="shared" si="24"/>
        <v>6.5</v>
      </c>
      <c r="AZ14" s="88">
        <f t="shared" si="12"/>
        <v>0.85112965703351495</v>
      </c>
      <c r="BA14" s="11">
        <f t="shared" si="25"/>
        <v>0</v>
      </c>
      <c r="BB14" s="89">
        <f t="shared" si="26"/>
        <v>0</v>
      </c>
      <c r="BC14" s="89">
        <f t="shared" si="27"/>
        <v>0</v>
      </c>
      <c r="BD14" s="89">
        <f t="shared" si="28"/>
        <v>1</v>
      </c>
      <c r="BE14" s="11">
        <f t="shared" si="29"/>
        <v>0</v>
      </c>
      <c r="BG14" s="88" t="e">
        <f>(#REF!+L14)/(J14-T14)</f>
        <v>#REF!</v>
      </c>
      <c r="BH14" s="11" t="e">
        <f t="shared" si="30"/>
        <v>#REF!</v>
      </c>
      <c r="BI14" s="89" t="e">
        <f t="shared" si="31"/>
        <v>#REF!</v>
      </c>
      <c r="BJ14" s="89" t="e">
        <f t="shared" si="32"/>
        <v>#REF!</v>
      </c>
      <c r="BK14" s="89" t="e">
        <f t="shared" si="33"/>
        <v>#REF!</v>
      </c>
      <c r="BL14" s="11" t="e">
        <f t="shared" si="34"/>
        <v>#REF!</v>
      </c>
    </row>
    <row r="15" spans="1:67" s="9" customFormat="1" x14ac:dyDescent="0.25">
      <c r="A15" s="94" t="s">
        <v>82</v>
      </c>
      <c r="B15" s="66">
        <v>55000</v>
      </c>
      <c r="C15" s="66">
        <v>43810.916989999998</v>
      </c>
      <c r="D15" s="66">
        <v>58000</v>
      </c>
      <c r="E15" s="74">
        <f t="shared" si="13"/>
        <v>0.5402171164552243</v>
      </c>
      <c r="F15" s="68">
        <f t="shared" si="14"/>
        <v>1</v>
      </c>
      <c r="G15" s="81"/>
      <c r="H15" s="82">
        <f t="shared" si="0"/>
        <v>1</v>
      </c>
      <c r="I15" s="66">
        <v>55000</v>
      </c>
      <c r="J15" s="71">
        <v>1733359.902</v>
      </c>
      <c r="K15" s="72">
        <v>1244514.102</v>
      </c>
      <c r="L15" s="66">
        <v>268236</v>
      </c>
      <c r="M15" s="66">
        <v>0</v>
      </c>
      <c r="N15" s="74">
        <f t="shared" si="15"/>
        <v>0.24930896088931673</v>
      </c>
      <c r="O15" s="68">
        <f t="shared" si="1"/>
        <v>1</v>
      </c>
      <c r="P15" s="81"/>
      <c r="Q15" s="82">
        <f t="shared" si="2"/>
        <v>1</v>
      </c>
      <c r="R15" s="92">
        <v>3433.8599800000002</v>
      </c>
      <c r="S15" s="66">
        <v>1777033.6470000001</v>
      </c>
      <c r="T15" s="72">
        <v>666248.26430000004</v>
      </c>
      <c r="U15" s="74">
        <f t="shared" si="3"/>
        <v>3.091380237335563E-3</v>
      </c>
      <c r="V15" s="68">
        <f t="shared" si="4"/>
        <v>1</v>
      </c>
      <c r="W15" s="81"/>
      <c r="X15" s="82">
        <f t="shared" si="16"/>
        <v>1</v>
      </c>
      <c r="Y15" s="66">
        <f t="shared" si="17"/>
        <v>43810.916989999998</v>
      </c>
      <c r="Z15" s="77"/>
      <c r="AA15" s="77">
        <v>46801.707829999999</v>
      </c>
      <c r="AB15" s="77"/>
      <c r="AC15" s="77">
        <f t="shared" si="5"/>
        <v>1733359.902</v>
      </c>
      <c r="AD15" s="77">
        <f t="shared" si="5"/>
        <v>1244514.102</v>
      </c>
      <c r="AE15" s="77">
        <f t="shared" si="5"/>
        <v>268236</v>
      </c>
      <c r="AF15" s="77">
        <f t="shared" si="18"/>
        <v>220609.80000000005</v>
      </c>
      <c r="AG15" s="78">
        <f t="shared" si="6"/>
        <v>22060.980000000007</v>
      </c>
      <c r="AH15" s="77">
        <f>IF(AA15&gt;0,AA15,0)+AG15+IF(AB15&gt;0,AB15,0)</f>
        <v>68862.68783000001</v>
      </c>
      <c r="AI15" s="95">
        <f t="shared" si="8"/>
        <v>0</v>
      </c>
      <c r="AJ15" s="80">
        <f t="shared" si="19"/>
        <v>1.5</v>
      </c>
      <c r="AK15" s="81"/>
      <c r="AL15" s="82">
        <f t="shared" si="9"/>
        <v>1.5</v>
      </c>
      <c r="AM15" s="83">
        <v>33189.5</v>
      </c>
      <c r="AN15" s="81">
        <v>35888.9</v>
      </c>
      <c r="AO15" s="93">
        <f t="shared" si="10"/>
        <v>0.9247845434103581</v>
      </c>
      <c r="AP15" s="85">
        <f t="shared" si="20"/>
        <v>1</v>
      </c>
      <c r="AQ15" s="81"/>
      <c r="AR15" s="97">
        <f t="shared" si="21"/>
        <v>1</v>
      </c>
      <c r="AS15" s="83">
        <v>86325.1</v>
      </c>
      <c r="AT15" s="81">
        <v>89322.7</v>
      </c>
      <c r="AU15" s="93">
        <f t="shared" si="22"/>
        <v>0.96644078157064228</v>
      </c>
      <c r="AV15" s="85">
        <f t="shared" si="23"/>
        <v>1</v>
      </c>
      <c r="AW15" s="81"/>
      <c r="AX15" s="97">
        <f t="shared" si="11"/>
        <v>1</v>
      </c>
      <c r="AY15" s="87">
        <f t="shared" si="24"/>
        <v>6.5</v>
      </c>
      <c r="AZ15" s="88">
        <f t="shared" si="12"/>
        <v>0.79326455432958121</v>
      </c>
      <c r="BA15" s="11">
        <f t="shared" si="25"/>
        <v>0</v>
      </c>
      <c r="BB15" s="89">
        <f t="shared" si="26"/>
        <v>0</v>
      </c>
      <c r="BC15" s="89">
        <f t="shared" si="27"/>
        <v>0</v>
      </c>
      <c r="BD15" s="89">
        <f t="shared" si="28"/>
        <v>1</v>
      </c>
      <c r="BE15" s="11">
        <f t="shared" si="29"/>
        <v>0</v>
      </c>
      <c r="BG15" s="88" t="e">
        <f>(#REF!+L15)/(J15-T15)</f>
        <v>#REF!</v>
      </c>
      <c r="BH15" s="11" t="e">
        <f t="shared" si="30"/>
        <v>#REF!</v>
      </c>
      <c r="BI15" s="89" t="e">
        <f t="shared" si="31"/>
        <v>#REF!</v>
      </c>
      <c r="BJ15" s="89" t="e">
        <f t="shared" si="32"/>
        <v>#REF!</v>
      </c>
      <c r="BK15" s="89" t="e">
        <f t="shared" si="33"/>
        <v>#REF!</v>
      </c>
      <c r="BL15" s="11" t="e">
        <f t="shared" si="34"/>
        <v>#REF!</v>
      </c>
    </row>
    <row r="16" spans="1:67" s="9" customFormat="1" x14ac:dyDescent="0.25">
      <c r="A16" s="94" t="s">
        <v>83</v>
      </c>
      <c r="B16" s="66">
        <v>0</v>
      </c>
      <c r="C16" s="66">
        <v>16743.702010000001</v>
      </c>
      <c r="D16" s="66">
        <v>0</v>
      </c>
      <c r="E16" s="74">
        <f t="shared" si="13"/>
        <v>0</v>
      </c>
      <c r="F16" s="68">
        <f t="shared" si="14"/>
        <v>1</v>
      </c>
      <c r="G16" s="81"/>
      <c r="H16" s="82">
        <f t="shared" si="0"/>
        <v>1</v>
      </c>
      <c r="I16" s="66">
        <v>0</v>
      </c>
      <c r="J16" s="71">
        <v>595320.00159999996</v>
      </c>
      <c r="K16" s="72">
        <v>451390.15830000001</v>
      </c>
      <c r="L16" s="66">
        <v>45425</v>
      </c>
      <c r="M16" s="66">
        <v>0</v>
      </c>
      <c r="N16" s="74">
        <f t="shared" si="15"/>
        <v>0</v>
      </c>
      <c r="O16" s="68">
        <f>IF(N16&lt;=1,1,0)</f>
        <v>1</v>
      </c>
      <c r="P16" s="81"/>
      <c r="Q16" s="82">
        <f>O16+P16</f>
        <v>1</v>
      </c>
      <c r="R16" s="92">
        <v>0</v>
      </c>
      <c r="S16" s="66">
        <v>610478.4497</v>
      </c>
      <c r="T16" s="72">
        <v>184901.9528</v>
      </c>
      <c r="U16" s="74">
        <f t="shared" si="3"/>
        <v>0</v>
      </c>
      <c r="V16" s="68">
        <f>IF(U16&lt;=0.15,1,0)</f>
        <v>1</v>
      </c>
      <c r="W16" s="81"/>
      <c r="X16" s="82">
        <f t="shared" si="16"/>
        <v>1</v>
      </c>
      <c r="Y16" s="66">
        <f t="shared" si="17"/>
        <v>16743.702010000001</v>
      </c>
      <c r="Z16" s="77"/>
      <c r="AA16" s="77">
        <v>16743.702010000001</v>
      </c>
      <c r="AB16" s="77"/>
      <c r="AC16" s="77">
        <f t="shared" si="5"/>
        <v>595320.00159999996</v>
      </c>
      <c r="AD16" s="77">
        <f t="shared" si="5"/>
        <v>451390.15830000001</v>
      </c>
      <c r="AE16" s="77">
        <f t="shared" si="5"/>
        <v>45425</v>
      </c>
      <c r="AF16" s="77">
        <f t="shared" si="18"/>
        <v>98504.84329999995</v>
      </c>
      <c r="AG16" s="78">
        <f t="shared" si="6"/>
        <v>9850.4843299999957</v>
      </c>
      <c r="AH16" s="77">
        <f t="shared" ref="AH16:AH39" si="35">IF(AA16&gt;0,AA16,0)+AG16+IF(AB16&gt;0,AB16,0)</f>
        <v>26594.186339999997</v>
      </c>
      <c r="AI16" s="95">
        <f t="shared" si="8"/>
        <v>0</v>
      </c>
      <c r="AJ16" s="80">
        <f t="shared" si="19"/>
        <v>1.5</v>
      </c>
      <c r="AK16" s="81"/>
      <c r="AL16" s="82">
        <f t="shared" si="9"/>
        <v>1.5</v>
      </c>
      <c r="AM16" s="83">
        <v>14362.7</v>
      </c>
      <c r="AN16" s="81">
        <v>15471.3</v>
      </c>
      <c r="AO16" s="93">
        <f t="shared" si="10"/>
        <v>0.92834474155371571</v>
      </c>
      <c r="AP16" s="85">
        <f t="shared" si="20"/>
        <v>1</v>
      </c>
      <c r="AQ16" s="81"/>
      <c r="AR16" s="97">
        <f>AP16+AQ16</f>
        <v>1</v>
      </c>
      <c r="AS16" s="83">
        <v>35094.400000000001</v>
      </c>
      <c r="AT16" s="81">
        <v>35498.1</v>
      </c>
      <c r="AU16" s="93">
        <f t="shared" si="22"/>
        <v>0.98862756034830046</v>
      </c>
      <c r="AV16" s="85">
        <f t="shared" si="23"/>
        <v>1</v>
      </c>
      <c r="AW16" s="81"/>
      <c r="AX16" s="97">
        <f t="shared" si="11"/>
        <v>1</v>
      </c>
      <c r="AY16" s="87">
        <f t="shared" si="24"/>
        <v>6.5</v>
      </c>
      <c r="AZ16" s="88">
        <f t="shared" si="12"/>
        <v>0.75998900733529351</v>
      </c>
      <c r="BA16" s="11">
        <f t="shared" si="25"/>
        <v>0</v>
      </c>
      <c r="BB16" s="89">
        <f t="shared" si="26"/>
        <v>0</v>
      </c>
      <c r="BC16" s="89">
        <f t="shared" si="27"/>
        <v>0</v>
      </c>
      <c r="BD16" s="89">
        <f t="shared" si="28"/>
        <v>1</v>
      </c>
      <c r="BE16" s="11">
        <f t="shared" si="29"/>
        <v>0</v>
      </c>
      <c r="BG16" s="88" t="e">
        <f>(#REF!+L16)/(J16-T16)</f>
        <v>#REF!</v>
      </c>
      <c r="BH16" s="11" t="e">
        <f t="shared" si="30"/>
        <v>#REF!</v>
      </c>
      <c r="BI16" s="89" t="e">
        <f t="shared" si="31"/>
        <v>#REF!</v>
      </c>
      <c r="BJ16" s="89" t="e">
        <f t="shared" si="32"/>
        <v>#REF!</v>
      </c>
      <c r="BK16" s="89" t="e">
        <f t="shared" si="33"/>
        <v>#REF!</v>
      </c>
      <c r="BL16" s="11" t="e">
        <f t="shared" si="34"/>
        <v>#REF!</v>
      </c>
    </row>
    <row r="17" spans="1:64" s="9" customFormat="1" x14ac:dyDescent="0.25">
      <c r="A17" s="103" t="s">
        <v>84</v>
      </c>
      <c r="B17" s="104">
        <v>0</v>
      </c>
      <c r="C17" s="104">
        <v>4741.7364600000001</v>
      </c>
      <c r="D17" s="104">
        <v>0</v>
      </c>
      <c r="E17" s="105">
        <f t="shared" si="13"/>
        <v>0</v>
      </c>
      <c r="F17" s="106"/>
      <c r="G17" s="107">
        <f t="shared" ref="G17:G38" si="36">IF(E17&lt;=1.05,1,0)</f>
        <v>1</v>
      </c>
      <c r="H17" s="108">
        <f t="shared" si="0"/>
        <v>1</v>
      </c>
      <c r="I17" s="104">
        <v>0</v>
      </c>
      <c r="J17" s="109">
        <v>282424.32429999998</v>
      </c>
      <c r="K17" s="110">
        <v>245737.46030000001</v>
      </c>
      <c r="L17" s="104">
        <v>20526</v>
      </c>
      <c r="M17" s="104">
        <v>0</v>
      </c>
      <c r="N17" s="105">
        <f t="shared" si="15"/>
        <v>0</v>
      </c>
      <c r="O17" s="106"/>
      <c r="P17" s="107">
        <f t="shared" ref="P17:P38" si="37">IF(N17&lt;=0.5,1,0)</f>
        <v>1</v>
      </c>
      <c r="Q17" s="108">
        <f>O17+P17</f>
        <v>1</v>
      </c>
      <c r="R17" s="120">
        <v>0</v>
      </c>
      <c r="S17" s="104">
        <v>287166.06079999998</v>
      </c>
      <c r="T17" s="110">
        <v>109292.2196</v>
      </c>
      <c r="U17" s="105">
        <f t="shared" si="3"/>
        <v>0</v>
      </c>
      <c r="V17" s="106"/>
      <c r="W17" s="107">
        <f t="shared" ref="W17:W38" si="38">IF(U17&lt;=0.15,1,0)</f>
        <v>1</v>
      </c>
      <c r="X17" s="108">
        <f t="shared" si="16"/>
        <v>1</v>
      </c>
      <c r="Y17" s="104">
        <f t="shared" si="17"/>
        <v>4741.7364600000001</v>
      </c>
      <c r="Z17" s="112"/>
      <c r="AA17" s="112">
        <v>4741.7364600000001</v>
      </c>
      <c r="AB17" s="112"/>
      <c r="AC17" s="112">
        <f t="shared" si="5"/>
        <v>282424.32429999998</v>
      </c>
      <c r="AD17" s="112">
        <f t="shared" si="5"/>
        <v>245737.46030000001</v>
      </c>
      <c r="AE17" s="112">
        <f t="shared" si="5"/>
        <v>20526</v>
      </c>
      <c r="AF17" s="112">
        <f t="shared" si="18"/>
        <v>16160.863999999972</v>
      </c>
      <c r="AG17" s="112">
        <f>AF17*10%</f>
        <v>1616.0863999999974</v>
      </c>
      <c r="AH17" s="112">
        <f t="shared" si="35"/>
        <v>6357.8228599999975</v>
      </c>
      <c r="AI17" s="113">
        <f t="shared" si="8"/>
        <v>0</v>
      </c>
      <c r="AJ17" s="114"/>
      <c r="AK17" s="115">
        <f t="shared" ref="AK17:AK33" si="39">IF(AI17&lt;=0.05,1.5,0)</f>
        <v>1.5</v>
      </c>
      <c r="AL17" s="108">
        <f t="shared" si="9"/>
        <v>1.5</v>
      </c>
      <c r="AM17" s="116">
        <v>9581.2999999999993</v>
      </c>
      <c r="AN17" s="107">
        <v>13486.8</v>
      </c>
      <c r="AO17" s="117">
        <f t="shared" si="10"/>
        <v>0.71042055936174631</v>
      </c>
      <c r="AP17" s="114"/>
      <c r="AQ17" s="115">
        <f t="shared" ref="AQ17:AQ33" si="40">IF(AO17&lt;=1,1,0)</f>
        <v>1</v>
      </c>
      <c r="AR17" s="118">
        <f>AP17+AQ17</f>
        <v>1</v>
      </c>
      <c r="AS17" s="116">
        <v>26669</v>
      </c>
      <c r="AT17" s="107">
        <v>33826.9</v>
      </c>
      <c r="AU17" s="117">
        <f t="shared" si="22"/>
        <v>0.78839621721174569</v>
      </c>
      <c r="AV17" s="114"/>
      <c r="AW17" s="115">
        <f t="shared" ref="AW17:AW33" si="41">IF(AU17&lt;=1,1,0)</f>
        <v>1</v>
      </c>
      <c r="AX17" s="118">
        <f t="shared" si="11"/>
        <v>1</v>
      </c>
      <c r="AY17" s="119">
        <f t="shared" si="24"/>
        <v>6.5</v>
      </c>
      <c r="AZ17" s="121">
        <f t="shared" si="12"/>
        <v>0.90665587975145812</v>
      </c>
      <c r="BA17" s="9">
        <f t="shared" si="25"/>
        <v>0</v>
      </c>
      <c r="BB17" s="122">
        <f t="shared" si="26"/>
        <v>0</v>
      </c>
      <c r="BC17" s="122">
        <f t="shared" si="27"/>
        <v>0</v>
      </c>
      <c r="BD17" s="122">
        <f t="shared" si="28"/>
        <v>0</v>
      </c>
      <c r="BE17" s="9">
        <f t="shared" si="29"/>
        <v>1</v>
      </c>
      <c r="BG17" s="121" t="e">
        <f>(#REF!+L17)/(J17-T17)</f>
        <v>#REF!</v>
      </c>
      <c r="BH17" s="9" t="e">
        <f t="shared" si="30"/>
        <v>#REF!</v>
      </c>
      <c r="BI17" s="122" t="e">
        <f t="shared" si="31"/>
        <v>#REF!</v>
      </c>
      <c r="BJ17" s="122" t="e">
        <f t="shared" si="32"/>
        <v>#REF!</v>
      </c>
      <c r="BK17" s="122" t="e">
        <f t="shared" si="33"/>
        <v>#REF!</v>
      </c>
      <c r="BL17" s="9" t="e">
        <f t="shared" si="34"/>
        <v>#REF!</v>
      </c>
    </row>
    <row r="18" spans="1:64" s="9" customFormat="1" x14ac:dyDescent="0.25">
      <c r="A18" s="103" t="s">
        <v>85</v>
      </c>
      <c r="B18" s="104">
        <v>0</v>
      </c>
      <c r="C18" s="104">
        <v>1844.55701</v>
      </c>
      <c r="D18" s="104">
        <v>0</v>
      </c>
      <c r="E18" s="105">
        <f t="shared" si="13"/>
        <v>0</v>
      </c>
      <c r="F18" s="106"/>
      <c r="G18" s="107">
        <f t="shared" si="36"/>
        <v>1</v>
      </c>
      <c r="H18" s="108">
        <f t="shared" si="0"/>
        <v>1</v>
      </c>
      <c r="I18" s="104">
        <v>0</v>
      </c>
      <c r="J18" s="109">
        <v>394028.14899999998</v>
      </c>
      <c r="K18" s="110">
        <v>298093.14899999998</v>
      </c>
      <c r="L18" s="104">
        <v>54763</v>
      </c>
      <c r="M18" s="104">
        <v>0</v>
      </c>
      <c r="N18" s="105">
        <f t="shared" si="15"/>
        <v>0</v>
      </c>
      <c r="O18" s="106"/>
      <c r="P18" s="107">
        <f t="shared" si="37"/>
        <v>1</v>
      </c>
      <c r="Q18" s="108">
        <f t="shared" si="2"/>
        <v>1</v>
      </c>
      <c r="R18" s="120">
        <v>0</v>
      </c>
      <c r="S18" s="104">
        <v>395872.70600000001</v>
      </c>
      <c r="T18" s="110">
        <v>160335.29610000001</v>
      </c>
      <c r="U18" s="105">
        <f t="shared" si="3"/>
        <v>0</v>
      </c>
      <c r="V18" s="106"/>
      <c r="W18" s="107">
        <f t="shared" si="38"/>
        <v>1</v>
      </c>
      <c r="X18" s="108">
        <f t="shared" si="16"/>
        <v>1</v>
      </c>
      <c r="Y18" s="104">
        <f t="shared" si="17"/>
        <v>1844.55701</v>
      </c>
      <c r="Z18" s="112"/>
      <c r="AA18" s="112">
        <v>1844.55701</v>
      </c>
      <c r="AB18" s="112"/>
      <c r="AC18" s="112">
        <f t="shared" si="5"/>
        <v>394028.14899999998</v>
      </c>
      <c r="AD18" s="112">
        <f t="shared" si="5"/>
        <v>298093.14899999998</v>
      </c>
      <c r="AE18" s="112">
        <f t="shared" si="5"/>
        <v>54763</v>
      </c>
      <c r="AF18" s="112">
        <f t="shared" si="18"/>
        <v>41172</v>
      </c>
      <c r="AG18" s="112">
        <f>AF18*10%</f>
        <v>4117.2</v>
      </c>
      <c r="AH18" s="112">
        <f t="shared" si="35"/>
        <v>5961.7570099999994</v>
      </c>
      <c r="AI18" s="113">
        <f t="shared" si="8"/>
        <v>0</v>
      </c>
      <c r="AJ18" s="114"/>
      <c r="AK18" s="115">
        <f t="shared" si="39"/>
        <v>1.5</v>
      </c>
      <c r="AL18" s="108">
        <f t="shared" si="9"/>
        <v>1.5</v>
      </c>
      <c r="AM18" s="116">
        <v>12396.6</v>
      </c>
      <c r="AN18" s="107">
        <v>15096.2</v>
      </c>
      <c r="AO18" s="117">
        <f t="shared" si="10"/>
        <v>0.82117354036115042</v>
      </c>
      <c r="AP18" s="114"/>
      <c r="AQ18" s="115">
        <f t="shared" si="40"/>
        <v>1</v>
      </c>
      <c r="AR18" s="118">
        <f t="shared" si="21"/>
        <v>1</v>
      </c>
      <c r="AS18" s="116">
        <v>33821.599999999999</v>
      </c>
      <c r="AT18" s="107">
        <v>37466.9</v>
      </c>
      <c r="AU18" s="117">
        <f t="shared" si="22"/>
        <v>0.90270612193696298</v>
      </c>
      <c r="AV18" s="114"/>
      <c r="AW18" s="115">
        <f t="shared" si="41"/>
        <v>1</v>
      </c>
      <c r="AX18" s="118">
        <f t="shared" si="11"/>
        <v>1</v>
      </c>
      <c r="AY18" s="119">
        <f t="shared" si="24"/>
        <v>6.5</v>
      </c>
      <c r="AZ18" s="88">
        <f t="shared" si="12"/>
        <v>0.8238200292003881</v>
      </c>
      <c r="BA18" s="11">
        <f t="shared" si="25"/>
        <v>0</v>
      </c>
      <c r="BB18" s="89">
        <f t="shared" si="26"/>
        <v>0</v>
      </c>
      <c r="BC18" s="89">
        <f t="shared" si="27"/>
        <v>0</v>
      </c>
      <c r="BD18" s="89">
        <f t="shared" si="28"/>
        <v>1</v>
      </c>
      <c r="BE18" s="11">
        <f t="shared" si="29"/>
        <v>0</v>
      </c>
      <c r="BG18" s="88" t="e">
        <f>(#REF!+L18)/(J18-T18)</f>
        <v>#REF!</v>
      </c>
      <c r="BH18" s="11" t="e">
        <f t="shared" si="30"/>
        <v>#REF!</v>
      </c>
      <c r="BI18" s="89" t="e">
        <f t="shared" si="31"/>
        <v>#REF!</v>
      </c>
      <c r="BJ18" s="89" t="e">
        <f t="shared" si="32"/>
        <v>#REF!</v>
      </c>
      <c r="BK18" s="89" t="e">
        <f t="shared" si="33"/>
        <v>#REF!</v>
      </c>
      <c r="BL18" s="11" t="e">
        <f t="shared" si="34"/>
        <v>#REF!</v>
      </c>
    </row>
    <row r="19" spans="1:64" x14ac:dyDescent="0.25">
      <c r="A19" s="103" t="s">
        <v>86</v>
      </c>
      <c r="B19" s="104">
        <v>25000</v>
      </c>
      <c r="C19" s="104">
        <v>8315.2223300000005</v>
      </c>
      <c r="D19" s="104">
        <v>26000</v>
      </c>
      <c r="E19" s="105">
        <f>IF(AND(B19=0,D19=0),0,B19/(IF(C19&gt;0,C19,0)+D19))</f>
        <v>0.72853964807751825</v>
      </c>
      <c r="F19" s="106"/>
      <c r="G19" s="107">
        <f>IF(E19&lt;=1.05,1,0)</f>
        <v>1</v>
      </c>
      <c r="H19" s="108">
        <f>F19+G19</f>
        <v>1</v>
      </c>
      <c r="I19" s="104">
        <v>24000</v>
      </c>
      <c r="J19" s="109">
        <v>961321.94420000003</v>
      </c>
      <c r="K19" s="110">
        <v>692767.54220000003</v>
      </c>
      <c r="L19" s="104">
        <v>204627</v>
      </c>
      <c r="M19" s="104">
        <v>0</v>
      </c>
      <c r="N19" s="105">
        <f>(I19-M19)/(J19-K19-L19)</f>
        <v>0.37542586198012551</v>
      </c>
      <c r="O19" s="106"/>
      <c r="P19" s="107">
        <f>IF(N19&lt;=0.5,1,0)</f>
        <v>1</v>
      </c>
      <c r="Q19" s="108">
        <f>O19+P19</f>
        <v>1</v>
      </c>
      <c r="R19" s="120">
        <v>1664.2639999999999</v>
      </c>
      <c r="S19" s="104">
        <v>969637.16650000005</v>
      </c>
      <c r="T19" s="110">
        <v>449149.80459999997</v>
      </c>
      <c r="U19" s="105">
        <f>R19/(S19-T19)</f>
        <v>3.1975108750474344E-3</v>
      </c>
      <c r="V19" s="106"/>
      <c r="W19" s="107">
        <f>IF(U19&lt;=0.15,1,0)</f>
        <v>1</v>
      </c>
      <c r="X19" s="108">
        <f>V19+W19</f>
        <v>1</v>
      </c>
      <c r="Y19" s="104">
        <f>C19</f>
        <v>8315.2223300000005</v>
      </c>
      <c r="Z19" s="112"/>
      <c r="AA19" s="112">
        <v>9315.2223300000005</v>
      </c>
      <c r="AB19" s="112"/>
      <c r="AC19" s="112">
        <f>J19</f>
        <v>961321.94420000003</v>
      </c>
      <c r="AD19" s="112">
        <f>K19</f>
        <v>692767.54220000003</v>
      </c>
      <c r="AE19" s="112">
        <f>L19</f>
        <v>204627</v>
      </c>
      <c r="AF19" s="112">
        <f>AC19-AD19-AE19</f>
        <v>63927.402000000002</v>
      </c>
      <c r="AG19" s="112">
        <f>AF19*10%</f>
        <v>6392.7402000000002</v>
      </c>
      <c r="AH19" s="112">
        <f>IF(AA19&gt;0,AA19,0)+AG19+IF(AB19&gt;0,AB19,0)</f>
        <v>15707.962530000001</v>
      </c>
      <c r="AI19" s="113">
        <f>IF((Y19-IF(Z19&gt;0,Z19,0)-IF(AA19&gt;0,AA19,0)-IF(AB19&gt;0,AB19,0))/(AC19-AD19-AE19)&gt;0,(Y19-IF(Z19&gt;0,Z19,0)-IF(AA19&gt;0,AA19,0)-IF(AB19&gt;0,AB19,0))/(AC19-AD19-AE19),0)</f>
        <v>0</v>
      </c>
      <c r="AJ19" s="114"/>
      <c r="AK19" s="115">
        <f>IF(AI19&lt;=0.05,1.5,0)</f>
        <v>1.5</v>
      </c>
      <c r="AL19" s="108">
        <f>AJ19+AK19</f>
        <v>1.5</v>
      </c>
      <c r="AM19" s="116">
        <v>32446.3</v>
      </c>
      <c r="AN19" s="107">
        <v>35888.9</v>
      </c>
      <c r="AO19" s="117">
        <f>AM19/AN19</f>
        <v>0.90407619068848577</v>
      </c>
      <c r="AP19" s="114"/>
      <c r="AQ19" s="115">
        <f>IF(AO19&lt;=1,1,0)</f>
        <v>1</v>
      </c>
      <c r="AR19" s="118">
        <f>AP19+AQ19</f>
        <v>1</v>
      </c>
      <c r="AS19" s="116">
        <v>73033.600000000006</v>
      </c>
      <c r="AT19" s="107">
        <v>89322.7</v>
      </c>
      <c r="AU19" s="117">
        <f>AS19/AT19</f>
        <v>0.8176376217915492</v>
      </c>
      <c r="AV19" s="114"/>
      <c r="AW19" s="115">
        <f>IF(AU19&lt;=1,1,0)</f>
        <v>1</v>
      </c>
      <c r="AX19" s="118">
        <f>AV19+AW19</f>
        <v>1</v>
      </c>
      <c r="AY19" s="119">
        <f t="shared" si="24"/>
        <v>6.5</v>
      </c>
      <c r="AZ19" s="88">
        <f t="shared" si="12"/>
        <v>0.87518375745715793</v>
      </c>
      <c r="BA19" s="11">
        <f>IF(($AZ19&lt;=10%),1,0)</f>
        <v>0</v>
      </c>
      <c r="BB19" s="89">
        <f>IF(AND(AZ19&gt;10%,AZ19&lt;30%),1,0)</f>
        <v>0</v>
      </c>
      <c r="BC19" s="89">
        <f>IF(AND(AZ19&gt;30%,AZ19&lt;70%),1,0)</f>
        <v>0</v>
      </c>
      <c r="BD19" s="89">
        <f>IF(AND(AZ19&gt;70%,AZ19&lt;90%),1,0)</f>
        <v>1</v>
      </c>
      <c r="BE19" s="11">
        <f>IF(($AZ19&gt;=90%),1,0)</f>
        <v>0</v>
      </c>
      <c r="BG19" s="88" t="e">
        <f>(#REF!+L19)/(J19-T19)</f>
        <v>#REF!</v>
      </c>
      <c r="BH19" s="11" t="e">
        <f>IF(($BG19&lt;=4.9%),1,0)</f>
        <v>#REF!</v>
      </c>
      <c r="BI19" s="89" t="e">
        <f>IF(AND(BG19&gt;5%,BG19&lt;19.9%),1,0)</f>
        <v>#REF!</v>
      </c>
      <c r="BJ19" s="89" t="e">
        <f>IF(AND(BG19&gt;20%,BG19&lt;49.9%),1,0)</f>
        <v>#REF!</v>
      </c>
      <c r="BK19" s="89" t="e">
        <f>IF(AND(BG19&gt;50%,BG19&lt;89.9%),1,0)</f>
        <v>#REF!</v>
      </c>
      <c r="BL19" s="11" t="e">
        <f>IF((BG19&gt;=90%),1,0)</f>
        <v>#REF!</v>
      </c>
    </row>
    <row r="20" spans="1:64" s="9" customFormat="1" x14ac:dyDescent="0.25">
      <c r="A20" s="103" t="s">
        <v>87</v>
      </c>
      <c r="B20" s="104">
        <v>0</v>
      </c>
      <c r="C20" s="104">
        <v>3547.9958799999999</v>
      </c>
      <c r="D20" s="104">
        <v>0</v>
      </c>
      <c r="E20" s="105">
        <f t="shared" si="13"/>
        <v>0</v>
      </c>
      <c r="F20" s="106"/>
      <c r="G20" s="107">
        <f t="shared" si="36"/>
        <v>1</v>
      </c>
      <c r="H20" s="108">
        <f t="shared" si="0"/>
        <v>1</v>
      </c>
      <c r="I20" s="104">
        <v>0</v>
      </c>
      <c r="J20" s="109">
        <v>199864.74849999999</v>
      </c>
      <c r="K20" s="110">
        <v>145739.64550000001</v>
      </c>
      <c r="L20" s="104">
        <v>27811</v>
      </c>
      <c r="M20" s="104">
        <v>0</v>
      </c>
      <c r="N20" s="105">
        <f t="shared" si="15"/>
        <v>0</v>
      </c>
      <c r="O20" s="106"/>
      <c r="P20" s="107">
        <f t="shared" si="37"/>
        <v>1</v>
      </c>
      <c r="Q20" s="108">
        <f t="shared" si="2"/>
        <v>1</v>
      </c>
      <c r="R20" s="120">
        <v>0</v>
      </c>
      <c r="S20" s="104">
        <v>203412.7444</v>
      </c>
      <c r="T20" s="110">
        <v>82746.680179999996</v>
      </c>
      <c r="U20" s="105">
        <f t="shared" si="3"/>
        <v>0</v>
      </c>
      <c r="V20" s="106"/>
      <c r="W20" s="107">
        <f t="shared" si="38"/>
        <v>1</v>
      </c>
      <c r="X20" s="108">
        <f t="shared" si="16"/>
        <v>1</v>
      </c>
      <c r="Y20" s="104">
        <f t="shared" si="17"/>
        <v>3547.9958799999999</v>
      </c>
      <c r="Z20" s="112"/>
      <c r="AA20" s="112">
        <v>3547.9958799999999</v>
      </c>
      <c r="AB20" s="112"/>
      <c r="AC20" s="112">
        <f t="shared" si="5"/>
        <v>199864.74849999999</v>
      </c>
      <c r="AD20" s="112">
        <f t="shared" si="5"/>
        <v>145739.64550000001</v>
      </c>
      <c r="AE20" s="112">
        <f t="shared" si="5"/>
        <v>27811</v>
      </c>
      <c r="AF20" s="112">
        <f t="shared" si="18"/>
        <v>26314.102999999974</v>
      </c>
      <c r="AG20" s="112">
        <f>AF20*5%</f>
        <v>1315.7051499999989</v>
      </c>
      <c r="AH20" s="112">
        <f t="shared" si="35"/>
        <v>4863.7010299999984</v>
      </c>
      <c r="AI20" s="113">
        <f t="shared" si="8"/>
        <v>0</v>
      </c>
      <c r="AJ20" s="106"/>
      <c r="AK20" s="115">
        <f t="shared" si="39"/>
        <v>1.5</v>
      </c>
      <c r="AL20" s="108">
        <f t="shared" si="9"/>
        <v>1.5</v>
      </c>
      <c r="AM20" s="116">
        <v>9802.7999999999993</v>
      </c>
      <c r="AN20" s="107">
        <v>12371.1</v>
      </c>
      <c r="AO20" s="117">
        <f t="shared" si="10"/>
        <v>0.7923951790867424</v>
      </c>
      <c r="AP20" s="106"/>
      <c r="AQ20" s="115">
        <f t="shared" si="40"/>
        <v>1</v>
      </c>
      <c r="AR20" s="118">
        <f t="shared" si="21"/>
        <v>1</v>
      </c>
      <c r="AS20" s="116">
        <v>25688.2</v>
      </c>
      <c r="AT20" s="107">
        <v>31333.4</v>
      </c>
      <c r="AU20" s="117">
        <f t="shared" si="22"/>
        <v>0.81983442588420019</v>
      </c>
      <c r="AV20" s="106"/>
      <c r="AW20" s="115">
        <f t="shared" si="41"/>
        <v>1</v>
      </c>
      <c r="AX20" s="118">
        <f t="shared" si="11"/>
        <v>1</v>
      </c>
      <c r="AY20" s="119">
        <f t="shared" si="24"/>
        <v>6.5</v>
      </c>
      <c r="AZ20" s="88">
        <f t="shared" si="12"/>
        <v>0.77531986842455147</v>
      </c>
      <c r="BA20" s="11">
        <f t="shared" si="25"/>
        <v>0</v>
      </c>
      <c r="BB20" s="89">
        <f t="shared" si="26"/>
        <v>0</v>
      </c>
      <c r="BC20" s="89">
        <f t="shared" si="27"/>
        <v>0</v>
      </c>
      <c r="BD20" s="89">
        <f t="shared" si="28"/>
        <v>1</v>
      </c>
      <c r="BE20" s="11">
        <f t="shared" si="29"/>
        <v>0</v>
      </c>
      <c r="BG20" s="88" t="e">
        <f>(#REF!+L20)/(J20-T20)</f>
        <v>#REF!</v>
      </c>
      <c r="BH20" s="11" t="e">
        <f t="shared" si="30"/>
        <v>#REF!</v>
      </c>
      <c r="BI20" s="89" t="e">
        <f t="shared" si="31"/>
        <v>#REF!</v>
      </c>
      <c r="BJ20" s="89" t="e">
        <f t="shared" si="32"/>
        <v>#REF!</v>
      </c>
      <c r="BK20" s="89" t="e">
        <f t="shared" si="33"/>
        <v>#REF!</v>
      </c>
      <c r="BL20" s="11" t="e">
        <f t="shared" si="34"/>
        <v>#REF!</v>
      </c>
    </row>
    <row r="21" spans="1:64" s="9" customFormat="1" x14ac:dyDescent="0.25">
      <c r="A21" s="94" t="s">
        <v>88</v>
      </c>
      <c r="B21" s="66">
        <v>0</v>
      </c>
      <c r="C21" s="66">
        <v>109236.03079999999</v>
      </c>
      <c r="D21" s="66">
        <v>0</v>
      </c>
      <c r="E21" s="74">
        <f>IF(AND(B21=0,D21=0),0,B21/(IF(C21&gt;0,C21,0)+D21))</f>
        <v>0</v>
      </c>
      <c r="F21" s="68">
        <f>IF(E21&lt;=1.05,1,0)</f>
        <v>1</v>
      </c>
      <c r="G21" s="81"/>
      <c r="H21" s="82">
        <f>F21+G21</f>
        <v>1</v>
      </c>
      <c r="I21" s="66">
        <v>0</v>
      </c>
      <c r="J21" s="71">
        <v>977482.13939999999</v>
      </c>
      <c r="K21" s="72">
        <v>735000.52269999997</v>
      </c>
      <c r="L21" s="66">
        <v>101143</v>
      </c>
      <c r="M21" s="66">
        <v>0</v>
      </c>
      <c r="N21" s="74">
        <f>(I21-M21)/(J21-K21-L21)</f>
        <v>0</v>
      </c>
      <c r="O21" s="68">
        <f>IF(N21&lt;=1,1,0)</f>
        <v>1</v>
      </c>
      <c r="P21" s="81"/>
      <c r="Q21" s="82">
        <f>O21+P21</f>
        <v>1</v>
      </c>
      <c r="R21" s="92">
        <v>0</v>
      </c>
      <c r="S21" s="66">
        <v>1086718.17</v>
      </c>
      <c r="T21" s="72">
        <v>259942.5484</v>
      </c>
      <c r="U21" s="74">
        <f>R21/(S21-T21)</f>
        <v>0</v>
      </c>
      <c r="V21" s="68">
        <f>IF(U21&lt;=0.15,1,0)</f>
        <v>1</v>
      </c>
      <c r="W21" s="81"/>
      <c r="X21" s="82">
        <f>V21+W21</f>
        <v>1</v>
      </c>
      <c r="Y21" s="66">
        <f>C21</f>
        <v>109236.03079999999</v>
      </c>
      <c r="Z21" s="77"/>
      <c r="AA21" s="77">
        <v>109236.03079999999</v>
      </c>
      <c r="AB21" s="77"/>
      <c r="AC21" s="77">
        <f>J21</f>
        <v>977482.13939999999</v>
      </c>
      <c r="AD21" s="77">
        <f>K21</f>
        <v>735000.52269999997</v>
      </c>
      <c r="AE21" s="77">
        <f>L21</f>
        <v>101143</v>
      </c>
      <c r="AF21" s="77">
        <f>AC21-AD21-AE21</f>
        <v>141338.61670000001</v>
      </c>
      <c r="AG21" s="78">
        <f>AF21*10%</f>
        <v>14133.861670000002</v>
      </c>
      <c r="AH21" s="77">
        <f>IF(AA21&gt;0,AA21,0)+AG21+IF(AB21&gt;0,AB21,0)</f>
        <v>123369.89246999999</v>
      </c>
      <c r="AI21" s="95">
        <f>IF((Y21-IF(Z21&gt;0,Z21,0)-IF(AA21&gt;0,AA21,0)-IF(AB21&gt;0,AB21,0))/(AC21-AD21-AE21)&gt;0,(Y21-IF(Z21&gt;0,Z21,0)-IF(AA21&gt;0,AA21,0)-IF(AB21&gt;0,AB21,0))/(AC21-AD21-AE21),0)</f>
        <v>0</v>
      </c>
      <c r="AJ21" s="80">
        <f>IF(AI21&lt;=0.1,1.5,0)</f>
        <v>1.5</v>
      </c>
      <c r="AK21" s="81"/>
      <c r="AL21" s="82">
        <f>AJ21+AK21</f>
        <v>1.5</v>
      </c>
      <c r="AM21" s="83">
        <v>24426.9</v>
      </c>
      <c r="AN21" s="81">
        <v>29838.799999999999</v>
      </c>
      <c r="AO21" s="93">
        <f>AM21/AN21</f>
        <v>0.8186287652318458</v>
      </c>
      <c r="AP21" s="85">
        <f>IF(AO21&lt;=1,1,0)</f>
        <v>1</v>
      </c>
      <c r="AQ21" s="81"/>
      <c r="AR21" s="97">
        <f>AP21+AQ21</f>
        <v>1</v>
      </c>
      <c r="AS21" s="83">
        <v>63824.800000000003</v>
      </c>
      <c r="AT21" s="81">
        <v>68219.8</v>
      </c>
      <c r="AU21" s="93">
        <f>AS21/AT21</f>
        <v>0.93557588852503237</v>
      </c>
      <c r="AV21" s="85">
        <f>IF(AU21&lt;=1,1,0)</f>
        <v>1</v>
      </c>
      <c r="AW21" s="81"/>
      <c r="AX21" s="97">
        <f>AV21+AW21</f>
        <v>1</v>
      </c>
      <c r="AY21" s="87">
        <f t="shared" si="24"/>
        <v>6.5</v>
      </c>
      <c r="AZ21" s="88">
        <f t="shared" si="12"/>
        <v>0.80302324990454776</v>
      </c>
      <c r="BA21" s="11">
        <f t="shared" si="25"/>
        <v>0</v>
      </c>
      <c r="BB21" s="89">
        <f t="shared" si="26"/>
        <v>0</v>
      </c>
      <c r="BC21" s="89">
        <f t="shared" si="27"/>
        <v>0</v>
      </c>
      <c r="BD21" s="89">
        <f t="shared" si="28"/>
        <v>1</v>
      </c>
      <c r="BE21" s="11">
        <f t="shared" si="29"/>
        <v>0</v>
      </c>
      <c r="BG21" s="88" t="e">
        <f>(#REF!+L21)/(J21-T21)</f>
        <v>#REF!</v>
      </c>
      <c r="BH21" s="11" t="e">
        <f t="shared" si="30"/>
        <v>#REF!</v>
      </c>
      <c r="BI21" s="89" t="e">
        <f t="shared" si="31"/>
        <v>#REF!</v>
      </c>
      <c r="BJ21" s="89" t="e">
        <f t="shared" si="32"/>
        <v>#REF!</v>
      </c>
      <c r="BK21" s="89" t="e">
        <f t="shared" si="33"/>
        <v>#REF!</v>
      </c>
      <c r="BL21" s="11" t="e">
        <f t="shared" si="34"/>
        <v>#REF!</v>
      </c>
    </row>
    <row r="22" spans="1:64" s="9" customFormat="1" x14ac:dyDescent="0.25">
      <c r="A22" s="103" t="s">
        <v>89</v>
      </c>
      <c r="B22" s="104">
        <v>0</v>
      </c>
      <c r="C22" s="104">
        <v>8610.2968500000006</v>
      </c>
      <c r="D22" s="104">
        <v>0</v>
      </c>
      <c r="E22" s="105">
        <f t="shared" si="13"/>
        <v>0</v>
      </c>
      <c r="F22" s="106"/>
      <c r="G22" s="107">
        <f t="shared" si="36"/>
        <v>1</v>
      </c>
      <c r="H22" s="108">
        <f t="shared" si="0"/>
        <v>1</v>
      </c>
      <c r="I22" s="104">
        <v>0</v>
      </c>
      <c r="J22" s="109">
        <v>293269.02779999998</v>
      </c>
      <c r="K22" s="110">
        <v>236703.1874</v>
      </c>
      <c r="L22" s="104">
        <v>43694</v>
      </c>
      <c r="M22" s="104">
        <v>0</v>
      </c>
      <c r="N22" s="105">
        <f t="shared" si="15"/>
        <v>0</v>
      </c>
      <c r="O22" s="106"/>
      <c r="P22" s="107">
        <f t="shared" si="37"/>
        <v>1</v>
      </c>
      <c r="Q22" s="108">
        <f t="shared" si="2"/>
        <v>1</v>
      </c>
      <c r="R22" s="120">
        <v>0</v>
      </c>
      <c r="S22" s="104">
        <v>301273.29220000003</v>
      </c>
      <c r="T22" s="110">
        <v>155524.82380000001</v>
      </c>
      <c r="U22" s="105">
        <f t="shared" si="3"/>
        <v>0</v>
      </c>
      <c r="V22" s="106"/>
      <c r="W22" s="107">
        <f t="shared" si="38"/>
        <v>1</v>
      </c>
      <c r="X22" s="108">
        <f t="shared" si="16"/>
        <v>1</v>
      </c>
      <c r="Y22" s="104">
        <f t="shared" si="17"/>
        <v>8610.2968500000006</v>
      </c>
      <c r="Z22" s="112"/>
      <c r="AA22" s="112">
        <v>8610.2968500000006</v>
      </c>
      <c r="AB22" s="112"/>
      <c r="AC22" s="112">
        <f t="shared" si="5"/>
        <v>293269.02779999998</v>
      </c>
      <c r="AD22" s="112">
        <f t="shared" si="5"/>
        <v>236703.1874</v>
      </c>
      <c r="AE22" s="112">
        <f t="shared" si="5"/>
        <v>43694</v>
      </c>
      <c r="AF22" s="112">
        <f t="shared" si="18"/>
        <v>12871.840399999986</v>
      </c>
      <c r="AG22" s="112">
        <f>AF22*5%</f>
        <v>643.59201999999937</v>
      </c>
      <c r="AH22" s="112">
        <f t="shared" si="35"/>
        <v>9253.8888700000007</v>
      </c>
      <c r="AI22" s="113">
        <f t="shared" si="8"/>
        <v>0</v>
      </c>
      <c r="AJ22" s="106"/>
      <c r="AK22" s="115">
        <f t="shared" si="39"/>
        <v>1.5</v>
      </c>
      <c r="AL22" s="108">
        <f t="shared" si="9"/>
        <v>1.5</v>
      </c>
      <c r="AM22" s="116">
        <v>11312.2</v>
      </c>
      <c r="AN22" s="107">
        <v>13486.8</v>
      </c>
      <c r="AO22" s="117">
        <f t="shared" si="10"/>
        <v>0.83876086247293657</v>
      </c>
      <c r="AP22" s="106"/>
      <c r="AQ22" s="115">
        <f t="shared" si="40"/>
        <v>1</v>
      </c>
      <c r="AR22" s="118">
        <f t="shared" si="21"/>
        <v>1</v>
      </c>
      <c r="AS22" s="116">
        <v>31950.6</v>
      </c>
      <c r="AT22" s="107">
        <v>33826.9</v>
      </c>
      <c r="AU22" s="117">
        <f t="shared" si="22"/>
        <v>0.94453231008457761</v>
      </c>
      <c r="AV22" s="106"/>
      <c r="AW22" s="115">
        <f t="shared" si="41"/>
        <v>1</v>
      </c>
      <c r="AX22" s="118">
        <f t="shared" si="11"/>
        <v>1</v>
      </c>
      <c r="AY22" s="119">
        <f t="shared" si="24"/>
        <v>6.5</v>
      </c>
      <c r="AZ22" s="88">
        <f t="shared" si="12"/>
        <v>0.90655258060803789</v>
      </c>
      <c r="BA22" s="11">
        <f t="shared" si="25"/>
        <v>0</v>
      </c>
      <c r="BB22" s="89">
        <f t="shared" si="26"/>
        <v>0</v>
      </c>
      <c r="BC22" s="89">
        <f t="shared" si="27"/>
        <v>0</v>
      </c>
      <c r="BD22" s="89">
        <f t="shared" si="28"/>
        <v>0</v>
      </c>
      <c r="BE22" s="11">
        <f t="shared" si="29"/>
        <v>1</v>
      </c>
      <c r="BG22" s="88" t="e">
        <f>(#REF!+L22)/(J22-T22)</f>
        <v>#REF!</v>
      </c>
      <c r="BH22" s="11" t="e">
        <f t="shared" si="30"/>
        <v>#REF!</v>
      </c>
      <c r="BI22" s="89" t="e">
        <f t="shared" si="31"/>
        <v>#REF!</v>
      </c>
      <c r="BJ22" s="89" t="e">
        <f t="shared" si="32"/>
        <v>#REF!</v>
      </c>
      <c r="BK22" s="89" t="e">
        <f t="shared" si="33"/>
        <v>#REF!</v>
      </c>
      <c r="BL22" s="11" t="e">
        <f t="shared" si="34"/>
        <v>#REF!</v>
      </c>
    </row>
    <row r="23" spans="1:64" s="9" customFormat="1" x14ac:dyDescent="0.25">
      <c r="A23" s="103" t="s">
        <v>90</v>
      </c>
      <c r="B23" s="104">
        <v>0</v>
      </c>
      <c r="C23" s="104">
        <v>0</v>
      </c>
      <c r="D23" s="104">
        <v>0</v>
      </c>
      <c r="E23" s="105">
        <f t="shared" si="13"/>
        <v>0</v>
      </c>
      <c r="F23" s="106"/>
      <c r="G23" s="107">
        <f t="shared" si="36"/>
        <v>1</v>
      </c>
      <c r="H23" s="108">
        <f t="shared" si="0"/>
        <v>1</v>
      </c>
      <c r="I23" s="104">
        <v>0</v>
      </c>
      <c r="J23" s="109">
        <v>587988.17520000006</v>
      </c>
      <c r="K23" s="110">
        <v>386795.02370000002</v>
      </c>
      <c r="L23" s="104">
        <v>112027</v>
      </c>
      <c r="M23" s="104">
        <v>0</v>
      </c>
      <c r="N23" s="105">
        <f t="shared" si="15"/>
        <v>0</v>
      </c>
      <c r="O23" s="106"/>
      <c r="P23" s="107">
        <f t="shared" si="37"/>
        <v>1</v>
      </c>
      <c r="Q23" s="108">
        <f t="shared" si="2"/>
        <v>1</v>
      </c>
      <c r="R23" s="120">
        <v>0</v>
      </c>
      <c r="S23" s="104">
        <v>587988.17520000006</v>
      </c>
      <c r="T23" s="110">
        <v>270230.33840000001</v>
      </c>
      <c r="U23" s="105">
        <f t="shared" si="3"/>
        <v>0</v>
      </c>
      <c r="V23" s="106"/>
      <c r="W23" s="107">
        <f t="shared" si="38"/>
        <v>1</v>
      </c>
      <c r="X23" s="108">
        <f t="shared" si="16"/>
        <v>1</v>
      </c>
      <c r="Y23" s="104">
        <f t="shared" si="17"/>
        <v>0</v>
      </c>
      <c r="Z23" s="112"/>
      <c r="AA23" s="112">
        <v>0</v>
      </c>
      <c r="AB23" s="112"/>
      <c r="AC23" s="112">
        <f t="shared" si="5"/>
        <v>587988.17520000006</v>
      </c>
      <c r="AD23" s="112">
        <f t="shared" si="5"/>
        <v>386795.02370000002</v>
      </c>
      <c r="AE23" s="112">
        <f t="shared" si="5"/>
        <v>112027</v>
      </c>
      <c r="AF23" s="112">
        <f t="shared" si="18"/>
        <v>89166.151500000036</v>
      </c>
      <c r="AG23" s="112">
        <f>AF23*10%</f>
        <v>8916.6151500000033</v>
      </c>
      <c r="AH23" s="112">
        <f t="shared" si="35"/>
        <v>8916.6151500000033</v>
      </c>
      <c r="AI23" s="113">
        <f t="shared" si="8"/>
        <v>0</v>
      </c>
      <c r="AJ23" s="114"/>
      <c r="AK23" s="115">
        <f t="shared" si="39"/>
        <v>1.5</v>
      </c>
      <c r="AL23" s="108">
        <f t="shared" si="9"/>
        <v>1.5</v>
      </c>
      <c r="AM23" s="116">
        <v>19464.3</v>
      </c>
      <c r="AN23" s="107">
        <v>21499.3</v>
      </c>
      <c r="AO23" s="117">
        <f t="shared" si="10"/>
        <v>0.90534575544320051</v>
      </c>
      <c r="AP23" s="114"/>
      <c r="AQ23" s="115">
        <f t="shared" si="40"/>
        <v>1</v>
      </c>
      <c r="AR23" s="118">
        <f t="shared" si="21"/>
        <v>1</v>
      </c>
      <c r="AS23" s="116">
        <v>47966.5</v>
      </c>
      <c r="AT23" s="107">
        <v>49346.9</v>
      </c>
      <c r="AU23" s="117">
        <f t="shared" si="22"/>
        <v>0.97202661160072867</v>
      </c>
      <c r="AV23" s="114"/>
      <c r="AW23" s="115">
        <f t="shared" si="41"/>
        <v>1</v>
      </c>
      <c r="AX23" s="118">
        <f t="shared" si="11"/>
        <v>1</v>
      </c>
      <c r="AY23" s="119">
        <f t="shared" si="24"/>
        <v>6.5</v>
      </c>
      <c r="AZ23" s="88">
        <f t="shared" si="12"/>
        <v>0.71938960688443354</v>
      </c>
      <c r="BA23" s="11">
        <f t="shared" si="25"/>
        <v>0</v>
      </c>
      <c r="BB23" s="89">
        <f t="shared" si="26"/>
        <v>0</v>
      </c>
      <c r="BC23" s="89">
        <f t="shared" si="27"/>
        <v>0</v>
      </c>
      <c r="BD23" s="89">
        <f t="shared" si="28"/>
        <v>1</v>
      </c>
      <c r="BE23" s="11">
        <f t="shared" si="29"/>
        <v>0</v>
      </c>
      <c r="BG23" s="88" t="e">
        <f>(#REF!+L23)/(J23-T23)</f>
        <v>#REF!</v>
      </c>
      <c r="BH23" s="11" t="e">
        <f t="shared" si="30"/>
        <v>#REF!</v>
      </c>
      <c r="BI23" s="89" t="e">
        <f t="shared" si="31"/>
        <v>#REF!</v>
      </c>
      <c r="BJ23" s="89" t="e">
        <f t="shared" si="32"/>
        <v>#REF!</v>
      </c>
      <c r="BK23" s="89" t="e">
        <f t="shared" si="33"/>
        <v>#REF!</v>
      </c>
      <c r="BL23" s="11" t="e">
        <f t="shared" si="34"/>
        <v>#REF!</v>
      </c>
    </row>
    <row r="24" spans="1:64" s="9" customFormat="1" x14ac:dyDescent="0.25">
      <c r="A24" s="103" t="s">
        <v>91</v>
      </c>
      <c r="B24" s="104">
        <v>0</v>
      </c>
      <c r="C24" s="104">
        <v>7283.5096899999999</v>
      </c>
      <c r="D24" s="104">
        <v>0</v>
      </c>
      <c r="E24" s="105">
        <f t="shared" si="13"/>
        <v>0</v>
      </c>
      <c r="F24" s="106"/>
      <c r="G24" s="107">
        <f t="shared" si="36"/>
        <v>1</v>
      </c>
      <c r="H24" s="108">
        <f t="shared" si="0"/>
        <v>1</v>
      </c>
      <c r="I24" s="104">
        <v>0</v>
      </c>
      <c r="J24" s="109">
        <v>334142.42109999998</v>
      </c>
      <c r="K24" s="110">
        <v>271058.42109999998</v>
      </c>
      <c r="L24" s="104">
        <v>41896</v>
      </c>
      <c r="M24" s="104">
        <v>0</v>
      </c>
      <c r="N24" s="105">
        <f t="shared" si="15"/>
        <v>0</v>
      </c>
      <c r="O24" s="106"/>
      <c r="P24" s="107">
        <f t="shared" si="37"/>
        <v>1</v>
      </c>
      <c r="Q24" s="108">
        <f t="shared" si="2"/>
        <v>1</v>
      </c>
      <c r="R24" s="120">
        <v>0</v>
      </c>
      <c r="S24" s="104">
        <v>341425.93079999997</v>
      </c>
      <c r="T24" s="110">
        <v>129430.8778</v>
      </c>
      <c r="U24" s="105">
        <f t="shared" si="3"/>
        <v>0</v>
      </c>
      <c r="V24" s="106"/>
      <c r="W24" s="107">
        <f t="shared" si="38"/>
        <v>1</v>
      </c>
      <c r="X24" s="108">
        <f t="shared" si="16"/>
        <v>1</v>
      </c>
      <c r="Y24" s="104">
        <f t="shared" si="17"/>
        <v>7283.5096899999999</v>
      </c>
      <c r="Z24" s="112"/>
      <c r="AA24" s="112">
        <v>7283.5096899999999</v>
      </c>
      <c r="AB24" s="112"/>
      <c r="AC24" s="112">
        <f t="shared" si="5"/>
        <v>334142.42109999998</v>
      </c>
      <c r="AD24" s="112">
        <f t="shared" si="5"/>
        <v>271058.42109999998</v>
      </c>
      <c r="AE24" s="112">
        <f t="shared" si="5"/>
        <v>41896</v>
      </c>
      <c r="AF24" s="112">
        <f t="shared" si="18"/>
        <v>21188</v>
      </c>
      <c r="AG24" s="112">
        <f t="shared" ref="AG24:AG31" si="42">AF24*5%</f>
        <v>1059.4000000000001</v>
      </c>
      <c r="AH24" s="112">
        <f t="shared" si="35"/>
        <v>8342.9096900000004</v>
      </c>
      <c r="AI24" s="113">
        <f t="shared" si="8"/>
        <v>0</v>
      </c>
      <c r="AJ24" s="114"/>
      <c r="AK24" s="115">
        <f t="shared" si="39"/>
        <v>1.5</v>
      </c>
      <c r="AL24" s="108">
        <f t="shared" si="9"/>
        <v>1.5</v>
      </c>
      <c r="AM24" s="116">
        <v>13069.7</v>
      </c>
      <c r="AN24" s="107">
        <v>15096.2</v>
      </c>
      <c r="AO24" s="117">
        <f t="shared" si="10"/>
        <v>0.86576091996661408</v>
      </c>
      <c r="AP24" s="114"/>
      <c r="AQ24" s="115">
        <f t="shared" si="40"/>
        <v>1</v>
      </c>
      <c r="AR24" s="118">
        <f>AP24+AQ24</f>
        <v>1</v>
      </c>
      <c r="AS24" s="116">
        <v>33709.699999999997</v>
      </c>
      <c r="AT24" s="107">
        <v>37466.9</v>
      </c>
      <c r="AU24" s="117">
        <f t="shared" si="22"/>
        <v>0.89971948573273997</v>
      </c>
      <c r="AV24" s="114"/>
      <c r="AW24" s="115">
        <f t="shared" si="41"/>
        <v>1</v>
      </c>
      <c r="AX24" s="118">
        <f t="shared" si="11"/>
        <v>1</v>
      </c>
      <c r="AY24" s="119">
        <f t="shared" si="24"/>
        <v>6.5</v>
      </c>
      <c r="AZ24" s="88">
        <f t="shared" si="12"/>
        <v>0.89649826454119652</v>
      </c>
      <c r="BA24" s="11">
        <f t="shared" si="25"/>
        <v>0</v>
      </c>
      <c r="BB24" s="89">
        <f t="shared" si="26"/>
        <v>0</v>
      </c>
      <c r="BC24" s="89">
        <f t="shared" si="27"/>
        <v>0</v>
      </c>
      <c r="BD24" s="89">
        <f t="shared" si="28"/>
        <v>1</v>
      </c>
      <c r="BE24" s="11">
        <f t="shared" si="29"/>
        <v>0</v>
      </c>
      <c r="BG24" s="88" t="e">
        <f>(#REF!+L24)/(J24-T24)</f>
        <v>#REF!</v>
      </c>
      <c r="BH24" s="11" t="e">
        <f t="shared" si="30"/>
        <v>#REF!</v>
      </c>
      <c r="BI24" s="89" t="e">
        <f t="shared" si="31"/>
        <v>#REF!</v>
      </c>
      <c r="BJ24" s="89" t="e">
        <f t="shared" si="32"/>
        <v>#REF!</v>
      </c>
      <c r="BK24" s="89" t="e">
        <f t="shared" si="33"/>
        <v>#REF!</v>
      </c>
      <c r="BL24" s="11" t="e">
        <f t="shared" si="34"/>
        <v>#REF!</v>
      </c>
    </row>
    <row r="25" spans="1:64" s="9" customFormat="1" x14ac:dyDescent="0.25">
      <c r="A25" s="103" t="s">
        <v>92</v>
      </c>
      <c r="B25" s="104">
        <v>0</v>
      </c>
      <c r="C25" s="104">
        <v>7329.1905999999999</v>
      </c>
      <c r="D25" s="104">
        <v>0</v>
      </c>
      <c r="E25" s="105">
        <f t="shared" si="13"/>
        <v>0</v>
      </c>
      <c r="F25" s="106"/>
      <c r="G25" s="107">
        <f t="shared" si="36"/>
        <v>1</v>
      </c>
      <c r="H25" s="108">
        <f t="shared" si="0"/>
        <v>1</v>
      </c>
      <c r="I25" s="104">
        <v>0</v>
      </c>
      <c r="J25" s="109">
        <v>627106.62049999996</v>
      </c>
      <c r="K25" s="110">
        <v>431510.50550000003</v>
      </c>
      <c r="L25" s="104">
        <v>109892</v>
      </c>
      <c r="M25" s="104">
        <v>0</v>
      </c>
      <c r="N25" s="105">
        <f t="shared" si="15"/>
        <v>0</v>
      </c>
      <c r="O25" s="106"/>
      <c r="P25" s="107">
        <f t="shared" si="37"/>
        <v>1</v>
      </c>
      <c r="Q25" s="108">
        <f>O25+P25</f>
        <v>1</v>
      </c>
      <c r="R25" s="120">
        <v>0</v>
      </c>
      <c r="S25" s="104">
        <v>634435.81110000005</v>
      </c>
      <c r="T25" s="110">
        <v>276083.97989999998</v>
      </c>
      <c r="U25" s="105">
        <f t="shared" si="3"/>
        <v>0</v>
      </c>
      <c r="V25" s="106"/>
      <c r="W25" s="107">
        <f t="shared" si="38"/>
        <v>1</v>
      </c>
      <c r="X25" s="108">
        <f t="shared" si="16"/>
        <v>1</v>
      </c>
      <c r="Y25" s="104">
        <f t="shared" si="17"/>
        <v>7329.1905999999999</v>
      </c>
      <c r="Z25" s="112"/>
      <c r="AA25" s="112">
        <v>7329.1905999999999</v>
      </c>
      <c r="AB25" s="112"/>
      <c r="AC25" s="112">
        <f t="shared" si="5"/>
        <v>627106.62049999996</v>
      </c>
      <c r="AD25" s="112">
        <f t="shared" si="5"/>
        <v>431510.50550000003</v>
      </c>
      <c r="AE25" s="112">
        <f t="shared" si="5"/>
        <v>109892</v>
      </c>
      <c r="AF25" s="112">
        <f t="shared" si="18"/>
        <v>85704.114999999932</v>
      </c>
      <c r="AG25" s="112">
        <f>AF25*10%</f>
        <v>8570.4114999999929</v>
      </c>
      <c r="AH25" s="112">
        <f t="shared" si="35"/>
        <v>15899.602099999993</v>
      </c>
      <c r="AI25" s="113">
        <f t="shared" si="8"/>
        <v>0</v>
      </c>
      <c r="AJ25" s="114"/>
      <c r="AK25" s="115">
        <f t="shared" si="39"/>
        <v>1.5</v>
      </c>
      <c r="AL25" s="108">
        <f t="shared" si="9"/>
        <v>1.5</v>
      </c>
      <c r="AM25" s="116">
        <v>15171.6</v>
      </c>
      <c r="AN25" s="107">
        <v>17840.7</v>
      </c>
      <c r="AO25" s="117">
        <f t="shared" si="10"/>
        <v>0.85039264154433403</v>
      </c>
      <c r="AP25" s="114"/>
      <c r="AQ25" s="115">
        <f t="shared" si="40"/>
        <v>1</v>
      </c>
      <c r="AR25" s="118">
        <f t="shared" si="21"/>
        <v>1</v>
      </c>
      <c r="AS25" s="116">
        <v>35818.9</v>
      </c>
      <c r="AT25" s="107">
        <v>42505.2</v>
      </c>
      <c r="AU25" s="117">
        <f t="shared" si="22"/>
        <v>0.8426945409032307</v>
      </c>
      <c r="AV25" s="114"/>
      <c r="AW25" s="115">
        <f t="shared" si="41"/>
        <v>1</v>
      </c>
      <c r="AX25" s="118">
        <f t="shared" si="11"/>
        <v>1</v>
      </c>
      <c r="AY25" s="119">
        <f t="shared" si="24"/>
        <v>6.5</v>
      </c>
      <c r="AZ25" s="88">
        <f t="shared" si="12"/>
        <v>0.75584448098986812</v>
      </c>
      <c r="BA25" s="11">
        <f t="shared" si="25"/>
        <v>0</v>
      </c>
      <c r="BB25" s="89">
        <f t="shared" si="26"/>
        <v>0</v>
      </c>
      <c r="BC25" s="89">
        <f t="shared" si="27"/>
        <v>0</v>
      </c>
      <c r="BD25" s="89">
        <f t="shared" si="28"/>
        <v>1</v>
      </c>
      <c r="BE25" s="11">
        <f t="shared" si="29"/>
        <v>0</v>
      </c>
      <c r="BG25" s="88" t="e">
        <f>(#REF!+L25)/(J25-T25)</f>
        <v>#REF!</v>
      </c>
      <c r="BH25" s="11" t="e">
        <f t="shared" si="30"/>
        <v>#REF!</v>
      </c>
      <c r="BI25" s="89" t="e">
        <f t="shared" si="31"/>
        <v>#REF!</v>
      </c>
      <c r="BJ25" s="89" t="e">
        <f t="shared" si="32"/>
        <v>#REF!</v>
      </c>
      <c r="BK25" s="89" t="e">
        <f t="shared" si="33"/>
        <v>#REF!</v>
      </c>
      <c r="BL25" s="11" t="e">
        <f t="shared" si="34"/>
        <v>#REF!</v>
      </c>
    </row>
    <row r="26" spans="1:64" s="9" customFormat="1" x14ac:dyDescent="0.25">
      <c r="A26" s="103" t="s">
        <v>93</v>
      </c>
      <c r="B26" s="104">
        <v>0</v>
      </c>
      <c r="C26" s="104">
        <v>0</v>
      </c>
      <c r="D26" s="104">
        <v>0</v>
      </c>
      <c r="E26" s="105">
        <f t="shared" si="13"/>
        <v>0</v>
      </c>
      <c r="F26" s="106"/>
      <c r="G26" s="107">
        <f t="shared" si="36"/>
        <v>1</v>
      </c>
      <c r="H26" s="108">
        <f t="shared" si="0"/>
        <v>1</v>
      </c>
      <c r="I26" s="104">
        <v>0</v>
      </c>
      <c r="J26" s="109">
        <v>412214.44069999998</v>
      </c>
      <c r="K26" s="110">
        <v>305943.64069999999</v>
      </c>
      <c r="L26" s="104">
        <v>57755</v>
      </c>
      <c r="M26" s="104">
        <v>0</v>
      </c>
      <c r="N26" s="105">
        <f t="shared" si="15"/>
        <v>0</v>
      </c>
      <c r="O26" s="106"/>
      <c r="P26" s="107">
        <f t="shared" si="37"/>
        <v>1</v>
      </c>
      <c r="Q26" s="108">
        <f t="shared" si="2"/>
        <v>1</v>
      </c>
      <c r="R26" s="120">
        <v>0</v>
      </c>
      <c r="S26" s="104">
        <v>412041.01659999997</v>
      </c>
      <c r="T26" s="110">
        <v>197126.50959999999</v>
      </c>
      <c r="U26" s="105">
        <f t="shared" si="3"/>
        <v>0</v>
      </c>
      <c r="V26" s="106"/>
      <c r="W26" s="107">
        <f t="shared" si="38"/>
        <v>1</v>
      </c>
      <c r="X26" s="108">
        <f t="shared" si="16"/>
        <v>1</v>
      </c>
      <c r="Y26" s="104">
        <f t="shared" si="17"/>
        <v>0</v>
      </c>
      <c r="Z26" s="112"/>
      <c r="AA26" s="112">
        <v>0</v>
      </c>
      <c r="AB26" s="112"/>
      <c r="AC26" s="112">
        <f t="shared" si="5"/>
        <v>412214.44069999998</v>
      </c>
      <c r="AD26" s="112">
        <f t="shared" si="5"/>
        <v>305943.64069999999</v>
      </c>
      <c r="AE26" s="112">
        <f t="shared" si="5"/>
        <v>57755</v>
      </c>
      <c r="AF26" s="112">
        <f t="shared" si="18"/>
        <v>48515.799999999988</v>
      </c>
      <c r="AG26" s="112">
        <f t="shared" si="42"/>
        <v>2425.7899999999995</v>
      </c>
      <c r="AH26" s="112">
        <f t="shared" si="35"/>
        <v>2425.7899999999995</v>
      </c>
      <c r="AI26" s="113">
        <f t="shared" si="8"/>
        <v>0</v>
      </c>
      <c r="AJ26" s="106"/>
      <c r="AK26" s="115">
        <f t="shared" si="39"/>
        <v>1.5</v>
      </c>
      <c r="AL26" s="108">
        <f t="shared" si="9"/>
        <v>1.5</v>
      </c>
      <c r="AM26" s="116">
        <v>13322.7</v>
      </c>
      <c r="AN26" s="107">
        <v>14022.1</v>
      </c>
      <c r="AO26" s="117">
        <f t="shared" si="10"/>
        <v>0.95012159376983474</v>
      </c>
      <c r="AP26" s="106"/>
      <c r="AQ26" s="115">
        <f t="shared" si="40"/>
        <v>1</v>
      </c>
      <c r="AR26" s="118">
        <f t="shared" si="21"/>
        <v>1</v>
      </c>
      <c r="AS26" s="116">
        <v>32198.3</v>
      </c>
      <c r="AT26" s="107">
        <v>33233.800000000003</v>
      </c>
      <c r="AU26" s="117">
        <f t="shared" si="22"/>
        <v>0.968841962098827</v>
      </c>
      <c r="AV26" s="106"/>
      <c r="AW26" s="115">
        <f t="shared" si="41"/>
        <v>1</v>
      </c>
      <c r="AX26" s="118">
        <f t="shared" si="11"/>
        <v>1</v>
      </c>
      <c r="AY26" s="119">
        <f t="shared" si="24"/>
        <v>6.5</v>
      </c>
      <c r="AZ26" s="88">
        <f t="shared" si="12"/>
        <v>0.77443736730424118</v>
      </c>
      <c r="BA26" s="11">
        <f t="shared" si="25"/>
        <v>0</v>
      </c>
      <c r="BB26" s="89">
        <f t="shared" si="26"/>
        <v>0</v>
      </c>
      <c r="BC26" s="89">
        <f t="shared" si="27"/>
        <v>0</v>
      </c>
      <c r="BD26" s="89">
        <f t="shared" si="28"/>
        <v>1</v>
      </c>
      <c r="BE26" s="11">
        <f t="shared" si="29"/>
        <v>0</v>
      </c>
      <c r="BG26" s="88" t="e">
        <f>(#REF!+L26)/(J26-T26)</f>
        <v>#REF!</v>
      </c>
      <c r="BH26" s="11" t="e">
        <f t="shared" si="30"/>
        <v>#REF!</v>
      </c>
      <c r="BI26" s="89" t="e">
        <f t="shared" si="31"/>
        <v>#REF!</v>
      </c>
      <c r="BJ26" s="89" t="e">
        <f t="shared" si="32"/>
        <v>#REF!</v>
      </c>
      <c r="BK26" s="89" t="e">
        <f t="shared" si="33"/>
        <v>#REF!</v>
      </c>
      <c r="BL26" s="11" t="e">
        <f t="shared" si="34"/>
        <v>#REF!</v>
      </c>
    </row>
    <row r="27" spans="1:64" s="9" customFormat="1" x14ac:dyDescent="0.25">
      <c r="A27" s="103" t="s">
        <v>94</v>
      </c>
      <c r="B27" s="104">
        <v>0</v>
      </c>
      <c r="C27" s="104">
        <v>1166.4598000000001</v>
      </c>
      <c r="D27" s="104">
        <v>0</v>
      </c>
      <c r="E27" s="105">
        <f t="shared" si="13"/>
        <v>0</v>
      </c>
      <c r="F27" s="106"/>
      <c r="G27" s="107">
        <f t="shared" si="36"/>
        <v>1</v>
      </c>
      <c r="H27" s="108">
        <f t="shared" si="0"/>
        <v>1</v>
      </c>
      <c r="I27" s="104">
        <v>0</v>
      </c>
      <c r="J27" s="109">
        <v>345912.26189999998</v>
      </c>
      <c r="K27" s="110">
        <v>232378.179</v>
      </c>
      <c r="L27" s="104">
        <v>65085</v>
      </c>
      <c r="M27" s="104">
        <v>0</v>
      </c>
      <c r="N27" s="105">
        <f t="shared" si="15"/>
        <v>0</v>
      </c>
      <c r="O27" s="106"/>
      <c r="P27" s="107">
        <f t="shared" si="37"/>
        <v>1</v>
      </c>
      <c r="Q27" s="108">
        <f t="shared" si="2"/>
        <v>1</v>
      </c>
      <c r="R27" s="120">
        <v>0</v>
      </c>
      <c r="S27" s="104">
        <v>347078.72169999999</v>
      </c>
      <c r="T27" s="110">
        <v>145812.47469999999</v>
      </c>
      <c r="U27" s="105">
        <f t="shared" si="3"/>
        <v>0</v>
      </c>
      <c r="V27" s="106"/>
      <c r="W27" s="107">
        <f t="shared" si="38"/>
        <v>1</v>
      </c>
      <c r="X27" s="108">
        <f t="shared" si="16"/>
        <v>1</v>
      </c>
      <c r="Y27" s="104">
        <f t="shared" si="17"/>
        <v>1166.4598000000001</v>
      </c>
      <c r="Z27" s="112"/>
      <c r="AA27" s="112">
        <v>1166.4598000000001</v>
      </c>
      <c r="AB27" s="112"/>
      <c r="AC27" s="112">
        <f t="shared" si="5"/>
        <v>345912.26189999998</v>
      </c>
      <c r="AD27" s="112">
        <f t="shared" si="5"/>
        <v>232378.179</v>
      </c>
      <c r="AE27" s="112">
        <f t="shared" si="5"/>
        <v>65085</v>
      </c>
      <c r="AF27" s="112">
        <f t="shared" si="18"/>
        <v>48449.082899999979</v>
      </c>
      <c r="AG27" s="112">
        <f t="shared" si="42"/>
        <v>2422.4541449999992</v>
      </c>
      <c r="AH27" s="112">
        <f t="shared" si="35"/>
        <v>3588.9139449999993</v>
      </c>
      <c r="AI27" s="113">
        <f t="shared" si="8"/>
        <v>0</v>
      </c>
      <c r="AJ27" s="106"/>
      <c r="AK27" s="115">
        <f t="shared" si="39"/>
        <v>1.5</v>
      </c>
      <c r="AL27" s="108">
        <f t="shared" si="9"/>
        <v>1.5</v>
      </c>
      <c r="AM27" s="116">
        <v>13161.3</v>
      </c>
      <c r="AN27" s="107">
        <v>15096.2</v>
      </c>
      <c r="AO27" s="117">
        <f t="shared" si="10"/>
        <v>0.87182867211616155</v>
      </c>
      <c r="AP27" s="106"/>
      <c r="AQ27" s="115">
        <f t="shared" si="40"/>
        <v>1</v>
      </c>
      <c r="AR27" s="118">
        <f t="shared" si="21"/>
        <v>1</v>
      </c>
      <c r="AS27" s="116">
        <v>34412.800000000003</v>
      </c>
      <c r="AT27" s="107">
        <v>37466.9</v>
      </c>
      <c r="AU27" s="117">
        <f t="shared" si="22"/>
        <v>0.91848538309814798</v>
      </c>
      <c r="AV27" s="106"/>
      <c r="AW27" s="115">
        <f t="shared" si="41"/>
        <v>1</v>
      </c>
      <c r="AX27" s="118">
        <f t="shared" si="11"/>
        <v>1</v>
      </c>
      <c r="AY27" s="119">
        <f t="shared" si="24"/>
        <v>6.5</v>
      </c>
      <c r="AZ27" s="88">
        <f t="shared" si="12"/>
        <v>0.75787539018432304</v>
      </c>
      <c r="BA27" s="11">
        <f t="shared" si="25"/>
        <v>0</v>
      </c>
      <c r="BB27" s="89">
        <f t="shared" si="26"/>
        <v>0</v>
      </c>
      <c r="BC27" s="89">
        <f t="shared" si="27"/>
        <v>0</v>
      </c>
      <c r="BD27" s="89">
        <f t="shared" si="28"/>
        <v>1</v>
      </c>
      <c r="BE27" s="11">
        <f t="shared" si="29"/>
        <v>0</v>
      </c>
      <c r="BG27" s="88" t="e">
        <f>(#REF!+L27)/(J27-T27)</f>
        <v>#REF!</v>
      </c>
      <c r="BH27" s="11" t="e">
        <f t="shared" si="30"/>
        <v>#REF!</v>
      </c>
      <c r="BI27" s="89" t="e">
        <f t="shared" si="31"/>
        <v>#REF!</v>
      </c>
      <c r="BJ27" s="89" t="e">
        <f t="shared" si="32"/>
        <v>#REF!</v>
      </c>
      <c r="BK27" s="89" t="e">
        <f t="shared" si="33"/>
        <v>#REF!</v>
      </c>
      <c r="BL27" s="11" t="e">
        <f t="shared" si="34"/>
        <v>#REF!</v>
      </c>
    </row>
    <row r="28" spans="1:64" s="9" customFormat="1" x14ac:dyDescent="0.25">
      <c r="A28" s="103" t="s">
        <v>95</v>
      </c>
      <c r="B28" s="104">
        <v>0</v>
      </c>
      <c r="C28" s="104">
        <v>3335.9636700000001</v>
      </c>
      <c r="D28" s="104">
        <v>0</v>
      </c>
      <c r="E28" s="105">
        <f t="shared" si="13"/>
        <v>0</v>
      </c>
      <c r="F28" s="106"/>
      <c r="G28" s="107">
        <f t="shared" si="36"/>
        <v>1</v>
      </c>
      <c r="H28" s="108">
        <f t="shared" si="0"/>
        <v>1</v>
      </c>
      <c r="I28" s="104">
        <v>0</v>
      </c>
      <c r="J28" s="109">
        <v>308753.30040000001</v>
      </c>
      <c r="K28" s="110">
        <v>245742.72640000001</v>
      </c>
      <c r="L28" s="104">
        <v>30835</v>
      </c>
      <c r="M28" s="104">
        <v>0</v>
      </c>
      <c r="N28" s="105">
        <f t="shared" si="15"/>
        <v>0</v>
      </c>
      <c r="O28" s="106"/>
      <c r="P28" s="107">
        <f t="shared" si="37"/>
        <v>1</v>
      </c>
      <c r="Q28" s="108">
        <f t="shared" si="2"/>
        <v>1</v>
      </c>
      <c r="R28" s="120">
        <v>0</v>
      </c>
      <c r="S28" s="104">
        <v>312089.26409999997</v>
      </c>
      <c r="T28" s="110">
        <v>143989.75520000001</v>
      </c>
      <c r="U28" s="105">
        <f t="shared" si="3"/>
        <v>0</v>
      </c>
      <c r="V28" s="106"/>
      <c r="W28" s="107">
        <f t="shared" si="38"/>
        <v>1</v>
      </c>
      <c r="X28" s="108">
        <f t="shared" si="16"/>
        <v>1</v>
      </c>
      <c r="Y28" s="104">
        <f t="shared" si="17"/>
        <v>3335.9636700000001</v>
      </c>
      <c r="Z28" s="112"/>
      <c r="AA28" s="112">
        <v>3335.9636700000001</v>
      </c>
      <c r="AB28" s="112"/>
      <c r="AC28" s="112">
        <f t="shared" si="5"/>
        <v>308753.30040000001</v>
      </c>
      <c r="AD28" s="112">
        <f t="shared" si="5"/>
        <v>245742.72640000001</v>
      </c>
      <c r="AE28" s="112">
        <f t="shared" si="5"/>
        <v>30835</v>
      </c>
      <c r="AF28" s="112">
        <f t="shared" si="18"/>
        <v>32175.573999999993</v>
      </c>
      <c r="AG28" s="112">
        <f t="shared" si="42"/>
        <v>1608.7786999999998</v>
      </c>
      <c r="AH28" s="112">
        <f t="shared" si="35"/>
        <v>4944.7423699999999</v>
      </c>
      <c r="AI28" s="113">
        <f t="shared" si="8"/>
        <v>0</v>
      </c>
      <c r="AJ28" s="106"/>
      <c r="AK28" s="115">
        <f t="shared" si="39"/>
        <v>1.5</v>
      </c>
      <c r="AL28" s="108">
        <f t="shared" si="9"/>
        <v>1.5</v>
      </c>
      <c r="AM28" s="116">
        <v>12072.7</v>
      </c>
      <c r="AN28" s="107">
        <v>13486.8</v>
      </c>
      <c r="AO28" s="117">
        <f t="shared" si="10"/>
        <v>0.89514933119791218</v>
      </c>
      <c r="AP28" s="106"/>
      <c r="AQ28" s="115">
        <f t="shared" si="40"/>
        <v>1</v>
      </c>
      <c r="AR28" s="118">
        <f t="shared" si="21"/>
        <v>1</v>
      </c>
      <c r="AS28" s="116">
        <v>33074</v>
      </c>
      <c r="AT28" s="107">
        <v>33826.9</v>
      </c>
      <c r="AU28" s="117">
        <f t="shared" si="22"/>
        <v>0.97774256582778796</v>
      </c>
      <c r="AV28" s="106"/>
      <c r="AW28" s="115">
        <f t="shared" si="41"/>
        <v>1</v>
      </c>
      <c r="AX28" s="118">
        <f t="shared" si="11"/>
        <v>1</v>
      </c>
      <c r="AY28" s="119">
        <f t="shared" si="24"/>
        <v>6.5</v>
      </c>
      <c r="AZ28" s="88">
        <f t="shared" si="12"/>
        <v>0.80471666859957824</v>
      </c>
      <c r="BA28" s="11">
        <f t="shared" si="25"/>
        <v>0</v>
      </c>
      <c r="BB28" s="89">
        <f t="shared" si="26"/>
        <v>0</v>
      </c>
      <c r="BC28" s="89">
        <f t="shared" si="27"/>
        <v>0</v>
      </c>
      <c r="BD28" s="89">
        <f t="shared" si="28"/>
        <v>1</v>
      </c>
      <c r="BE28" s="11">
        <f t="shared" si="29"/>
        <v>0</v>
      </c>
      <c r="BG28" s="88" t="e">
        <f>(#REF!+L28)/(J28-T28)</f>
        <v>#REF!</v>
      </c>
      <c r="BH28" s="11" t="e">
        <f t="shared" si="30"/>
        <v>#REF!</v>
      </c>
      <c r="BI28" s="89" t="e">
        <f t="shared" si="31"/>
        <v>#REF!</v>
      </c>
      <c r="BJ28" s="89" t="e">
        <f t="shared" si="32"/>
        <v>#REF!</v>
      </c>
      <c r="BK28" s="89" t="e">
        <f t="shared" si="33"/>
        <v>#REF!</v>
      </c>
      <c r="BL28" s="11" t="e">
        <f t="shared" si="34"/>
        <v>#REF!</v>
      </c>
    </row>
    <row r="29" spans="1:64" s="9" customFormat="1" x14ac:dyDescent="0.25">
      <c r="A29" s="103" t="s">
        <v>96</v>
      </c>
      <c r="B29" s="104">
        <v>0</v>
      </c>
      <c r="C29" s="104">
        <v>12893.069579999999</v>
      </c>
      <c r="D29" s="104">
        <v>0</v>
      </c>
      <c r="E29" s="105">
        <f t="shared" si="13"/>
        <v>0</v>
      </c>
      <c r="F29" s="106"/>
      <c r="G29" s="107">
        <f t="shared" si="36"/>
        <v>1</v>
      </c>
      <c r="H29" s="108">
        <f t="shared" si="0"/>
        <v>1</v>
      </c>
      <c r="I29" s="104">
        <v>0</v>
      </c>
      <c r="J29" s="109">
        <v>379555.00380000001</v>
      </c>
      <c r="K29" s="110">
        <v>287856.96380000003</v>
      </c>
      <c r="L29" s="104">
        <v>44909</v>
      </c>
      <c r="M29" s="104">
        <v>0</v>
      </c>
      <c r="N29" s="105">
        <f t="shared" si="15"/>
        <v>0</v>
      </c>
      <c r="O29" s="106"/>
      <c r="P29" s="107">
        <f t="shared" si="37"/>
        <v>1</v>
      </c>
      <c r="Q29" s="108">
        <f t="shared" si="2"/>
        <v>1</v>
      </c>
      <c r="R29" s="120">
        <v>0</v>
      </c>
      <c r="S29" s="104">
        <v>392448.07339999999</v>
      </c>
      <c r="T29" s="110">
        <v>147395.72</v>
      </c>
      <c r="U29" s="105">
        <f t="shared" si="3"/>
        <v>0</v>
      </c>
      <c r="V29" s="106"/>
      <c r="W29" s="107">
        <f t="shared" si="38"/>
        <v>1</v>
      </c>
      <c r="X29" s="108">
        <f t="shared" si="16"/>
        <v>1</v>
      </c>
      <c r="Y29" s="104">
        <f t="shared" si="17"/>
        <v>12893.069579999999</v>
      </c>
      <c r="Z29" s="112"/>
      <c r="AA29" s="112">
        <v>12893.069579999999</v>
      </c>
      <c r="AB29" s="112"/>
      <c r="AC29" s="112">
        <f t="shared" si="5"/>
        <v>379555.00380000001</v>
      </c>
      <c r="AD29" s="112">
        <f t="shared" si="5"/>
        <v>287856.96380000003</v>
      </c>
      <c r="AE29" s="112">
        <f t="shared" si="5"/>
        <v>44909</v>
      </c>
      <c r="AF29" s="112">
        <f t="shared" si="18"/>
        <v>46789.039999999979</v>
      </c>
      <c r="AG29" s="112">
        <f t="shared" si="42"/>
        <v>2339.4519999999989</v>
      </c>
      <c r="AH29" s="112">
        <f t="shared" si="35"/>
        <v>15232.521579999999</v>
      </c>
      <c r="AI29" s="113">
        <f t="shared" si="8"/>
        <v>0</v>
      </c>
      <c r="AJ29" s="106"/>
      <c r="AK29" s="115">
        <f t="shared" si="39"/>
        <v>1.5</v>
      </c>
      <c r="AL29" s="108">
        <f t="shared" si="9"/>
        <v>1.5</v>
      </c>
      <c r="AM29" s="116">
        <v>13992.8</v>
      </c>
      <c r="AN29" s="107">
        <v>15096.2</v>
      </c>
      <c r="AO29" s="117">
        <f t="shared" si="10"/>
        <v>0.92690875849551535</v>
      </c>
      <c r="AP29" s="106"/>
      <c r="AQ29" s="115">
        <f t="shared" si="40"/>
        <v>1</v>
      </c>
      <c r="AR29" s="118">
        <f t="shared" si="21"/>
        <v>1</v>
      </c>
      <c r="AS29" s="116">
        <v>35820.5</v>
      </c>
      <c r="AT29" s="107">
        <v>37466.9</v>
      </c>
      <c r="AU29" s="117">
        <f t="shared" si="22"/>
        <v>0.95605721316682191</v>
      </c>
      <c r="AV29" s="106"/>
      <c r="AW29" s="115">
        <f t="shared" si="41"/>
        <v>1</v>
      </c>
      <c r="AX29" s="118">
        <f t="shared" si="11"/>
        <v>1</v>
      </c>
      <c r="AY29" s="119">
        <f t="shared" si="24"/>
        <v>6.5</v>
      </c>
      <c r="AZ29" s="88">
        <f t="shared" si="12"/>
        <v>0.79846147337227447</v>
      </c>
      <c r="BA29" s="11">
        <f t="shared" si="25"/>
        <v>0</v>
      </c>
      <c r="BB29" s="89">
        <f t="shared" si="26"/>
        <v>0</v>
      </c>
      <c r="BC29" s="89">
        <f t="shared" si="27"/>
        <v>0</v>
      </c>
      <c r="BD29" s="89">
        <f t="shared" si="28"/>
        <v>1</v>
      </c>
      <c r="BE29" s="11">
        <f t="shared" si="29"/>
        <v>0</v>
      </c>
      <c r="BG29" s="88" t="e">
        <f>(#REF!+L29)/(J29-T29)</f>
        <v>#REF!</v>
      </c>
      <c r="BH29" s="11" t="e">
        <f t="shared" si="30"/>
        <v>#REF!</v>
      </c>
      <c r="BI29" s="89" t="e">
        <f t="shared" si="31"/>
        <v>#REF!</v>
      </c>
      <c r="BJ29" s="89" t="e">
        <f t="shared" si="32"/>
        <v>#REF!</v>
      </c>
      <c r="BK29" s="89" t="e">
        <f t="shared" si="33"/>
        <v>#REF!</v>
      </c>
      <c r="BL29" s="11" t="e">
        <f t="shared" si="34"/>
        <v>#REF!</v>
      </c>
    </row>
    <row r="30" spans="1:64" s="9" customFormat="1" x14ac:dyDescent="0.25">
      <c r="A30" s="103" t="s">
        <v>97</v>
      </c>
      <c r="B30" s="104">
        <v>0</v>
      </c>
      <c r="C30" s="104">
        <v>49452.06611</v>
      </c>
      <c r="D30" s="104">
        <v>0</v>
      </c>
      <c r="E30" s="105">
        <f t="shared" si="13"/>
        <v>0</v>
      </c>
      <c r="F30" s="106"/>
      <c r="G30" s="107">
        <f t="shared" si="36"/>
        <v>1</v>
      </c>
      <c r="H30" s="108">
        <f t="shared" si="0"/>
        <v>1</v>
      </c>
      <c r="I30" s="104">
        <v>0</v>
      </c>
      <c r="J30" s="109">
        <v>612662.93259999994</v>
      </c>
      <c r="K30" s="110">
        <v>463026.3236</v>
      </c>
      <c r="L30" s="104">
        <v>87421</v>
      </c>
      <c r="M30" s="104">
        <v>0</v>
      </c>
      <c r="N30" s="105">
        <f t="shared" si="15"/>
        <v>0</v>
      </c>
      <c r="O30" s="106"/>
      <c r="P30" s="107">
        <f>IF(N30&lt;=0.5,1,0)</f>
        <v>1</v>
      </c>
      <c r="Q30" s="108">
        <f>O30+P30</f>
        <v>1</v>
      </c>
      <c r="R30" s="120">
        <v>0</v>
      </c>
      <c r="S30" s="104">
        <v>662114.9987</v>
      </c>
      <c r="T30" s="110">
        <v>216949.09789999999</v>
      </c>
      <c r="U30" s="105">
        <f t="shared" si="3"/>
        <v>0</v>
      </c>
      <c r="V30" s="106"/>
      <c r="W30" s="107">
        <f t="shared" si="38"/>
        <v>1</v>
      </c>
      <c r="X30" s="108">
        <f t="shared" si="16"/>
        <v>1</v>
      </c>
      <c r="Y30" s="104">
        <f t="shared" si="17"/>
        <v>49452.06611</v>
      </c>
      <c r="Z30" s="112"/>
      <c r="AA30" s="112">
        <v>49452.06611</v>
      </c>
      <c r="AB30" s="112"/>
      <c r="AC30" s="112">
        <f t="shared" si="5"/>
        <v>612662.93259999994</v>
      </c>
      <c r="AD30" s="112">
        <f t="shared" si="5"/>
        <v>463026.3236</v>
      </c>
      <c r="AE30" s="112">
        <f t="shared" si="5"/>
        <v>87421</v>
      </c>
      <c r="AF30" s="112">
        <f t="shared" si="18"/>
        <v>62215.608999999939</v>
      </c>
      <c r="AG30" s="112">
        <f>AF30*10%</f>
        <v>6221.560899999994</v>
      </c>
      <c r="AH30" s="112">
        <f t="shared" si="35"/>
        <v>55673.627009999997</v>
      </c>
      <c r="AI30" s="113">
        <f t="shared" si="8"/>
        <v>0</v>
      </c>
      <c r="AJ30" s="114"/>
      <c r="AK30" s="115">
        <f t="shared" si="39"/>
        <v>1.5</v>
      </c>
      <c r="AL30" s="108">
        <f t="shared" si="9"/>
        <v>1.5</v>
      </c>
      <c r="AM30" s="116">
        <v>16018.8</v>
      </c>
      <c r="AN30" s="107">
        <v>17840.7</v>
      </c>
      <c r="AO30" s="117">
        <f t="shared" si="10"/>
        <v>0.89787956750575926</v>
      </c>
      <c r="AP30" s="114"/>
      <c r="AQ30" s="115">
        <f t="shared" si="40"/>
        <v>1</v>
      </c>
      <c r="AR30" s="118">
        <f t="shared" si="21"/>
        <v>1</v>
      </c>
      <c r="AS30" s="116">
        <v>39909.199999999997</v>
      </c>
      <c r="AT30" s="107">
        <v>42505.2</v>
      </c>
      <c r="AU30" s="117">
        <f t="shared" si="22"/>
        <v>0.9389251197500541</v>
      </c>
      <c r="AV30" s="114"/>
      <c r="AW30" s="115">
        <f t="shared" si="41"/>
        <v>1</v>
      </c>
      <c r="AX30" s="118">
        <f t="shared" si="11"/>
        <v>1</v>
      </c>
      <c r="AY30" s="119">
        <f t="shared" si="24"/>
        <v>6.5</v>
      </c>
      <c r="AZ30" s="88">
        <f t="shared" si="12"/>
        <v>0.84277626015484886</v>
      </c>
      <c r="BA30" s="11">
        <f t="shared" si="25"/>
        <v>0</v>
      </c>
      <c r="BB30" s="89">
        <f t="shared" si="26"/>
        <v>0</v>
      </c>
      <c r="BC30" s="89">
        <f t="shared" si="27"/>
        <v>0</v>
      </c>
      <c r="BD30" s="89">
        <f t="shared" si="28"/>
        <v>1</v>
      </c>
      <c r="BE30" s="11">
        <f t="shared" si="29"/>
        <v>0</v>
      </c>
      <c r="BG30" s="88" t="e">
        <f>(#REF!+L30)/(J30-T30)</f>
        <v>#REF!</v>
      </c>
      <c r="BH30" s="11" t="e">
        <f t="shared" si="30"/>
        <v>#REF!</v>
      </c>
      <c r="BI30" s="89" t="e">
        <f t="shared" si="31"/>
        <v>#REF!</v>
      </c>
      <c r="BJ30" s="89" t="e">
        <f t="shared" si="32"/>
        <v>#REF!</v>
      </c>
      <c r="BK30" s="89" t="e">
        <f t="shared" si="33"/>
        <v>#REF!</v>
      </c>
      <c r="BL30" s="11" t="e">
        <f t="shared" si="34"/>
        <v>#REF!</v>
      </c>
    </row>
    <row r="31" spans="1:64" s="9" customFormat="1" x14ac:dyDescent="0.25">
      <c r="A31" s="103" t="s">
        <v>98</v>
      </c>
      <c r="B31" s="104">
        <v>0</v>
      </c>
      <c r="C31" s="104">
        <v>20519.033100000001</v>
      </c>
      <c r="D31" s="104">
        <v>0</v>
      </c>
      <c r="E31" s="105">
        <f t="shared" si="13"/>
        <v>0</v>
      </c>
      <c r="F31" s="106"/>
      <c r="G31" s="107">
        <f t="shared" si="36"/>
        <v>1</v>
      </c>
      <c r="H31" s="108">
        <f t="shared" si="0"/>
        <v>1</v>
      </c>
      <c r="I31" s="104">
        <v>0</v>
      </c>
      <c r="J31" s="109">
        <v>623100.94319999998</v>
      </c>
      <c r="K31" s="110">
        <v>431918.50630000001</v>
      </c>
      <c r="L31" s="104">
        <v>128867</v>
      </c>
      <c r="M31" s="104">
        <v>0</v>
      </c>
      <c r="N31" s="105">
        <f t="shared" si="15"/>
        <v>0</v>
      </c>
      <c r="O31" s="106"/>
      <c r="P31" s="107">
        <f t="shared" si="37"/>
        <v>1</v>
      </c>
      <c r="Q31" s="108">
        <f t="shared" si="2"/>
        <v>1</v>
      </c>
      <c r="R31" s="120">
        <v>0</v>
      </c>
      <c r="S31" s="104">
        <v>643619.97629999998</v>
      </c>
      <c r="T31" s="110">
        <v>267894.07760000002</v>
      </c>
      <c r="U31" s="105">
        <f t="shared" si="3"/>
        <v>0</v>
      </c>
      <c r="V31" s="106"/>
      <c r="W31" s="107">
        <f t="shared" si="38"/>
        <v>1</v>
      </c>
      <c r="X31" s="108">
        <f t="shared" si="16"/>
        <v>1</v>
      </c>
      <c r="Y31" s="104">
        <f t="shared" si="17"/>
        <v>20519.033100000001</v>
      </c>
      <c r="Z31" s="112"/>
      <c r="AA31" s="112">
        <v>20519.033100000001</v>
      </c>
      <c r="AB31" s="112"/>
      <c r="AC31" s="112">
        <f t="shared" si="5"/>
        <v>623100.94319999998</v>
      </c>
      <c r="AD31" s="112">
        <f t="shared" si="5"/>
        <v>431918.50630000001</v>
      </c>
      <c r="AE31" s="112">
        <f t="shared" si="5"/>
        <v>128867</v>
      </c>
      <c r="AF31" s="112">
        <f t="shared" si="18"/>
        <v>62315.436899999972</v>
      </c>
      <c r="AG31" s="112">
        <f t="shared" si="42"/>
        <v>3115.7718449999988</v>
      </c>
      <c r="AH31" s="112">
        <f t="shared" si="35"/>
        <v>23634.804945</v>
      </c>
      <c r="AI31" s="113">
        <f t="shared" si="8"/>
        <v>0</v>
      </c>
      <c r="AJ31" s="106"/>
      <c r="AK31" s="115">
        <f t="shared" si="39"/>
        <v>1.5</v>
      </c>
      <c r="AL31" s="108">
        <f t="shared" si="9"/>
        <v>1.5</v>
      </c>
      <c r="AM31" s="116">
        <v>16982.099999999999</v>
      </c>
      <c r="AN31" s="107">
        <v>17840.7</v>
      </c>
      <c r="AO31" s="117">
        <f>AM31/AN31</f>
        <v>0.95187408565807385</v>
      </c>
      <c r="AP31" s="106"/>
      <c r="AQ31" s="115">
        <f t="shared" si="40"/>
        <v>1</v>
      </c>
      <c r="AR31" s="118">
        <f t="shared" si="21"/>
        <v>1</v>
      </c>
      <c r="AS31" s="116">
        <v>51530.7</v>
      </c>
      <c r="AT31" s="107">
        <v>51650.9</v>
      </c>
      <c r="AU31" s="117">
        <f t="shared" si="22"/>
        <v>0.99767283822740738</v>
      </c>
      <c r="AV31" s="106"/>
      <c r="AW31" s="115">
        <f t="shared" si="41"/>
        <v>1</v>
      </c>
      <c r="AX31" s="118">
        <f t="shared" si="11"/>
        <v>1</v>
      </c>
      <c r="AY31" s="119">
        <f t="shared" si="24"/>
        <v>6.5</v>
      </c>
      <c r="AZ31" s="88">
        <f t="shared" si="12"/>
        <v>0.82456578705273775</v>
      </c>
      <c r="BA31" s="11">
        <f t="shared" si="25"/>
        <v>0</v>
      </c>
      <c r="BB31" s="89">
        <f t="shared" si="26"/>
        <v>0</v>
      </c>
      <c r="BC31" s="89">
        <f t="shared" si="27"/>
        <v>0</v>
      </c>
      <c r="BD31" s="89">
        <f t="shared" si="28"/>
        <v>1</v>
      </c>
      <c r="BE31" s="11">
        <f t="shared" si="29"/>
        <v>0</v>
      </c>
      <c r="BG31" s="88" t="e">
        <f>(#REF!+L31)/(J31-T31)</f>
        <v>#REF!</v>
      </c>
      <c r="BH31" s="11" t="e">
        <f t="shared" si="30"/>
        <v>#REF!</v>
      </c>
      <c r="BI31" s="89" t="e">
        <f t="shared" si="31"/>
        <v>#REF!</v>
      </c>
      <c r="BJ31" s="89" t="e">
        <f t="shared" si="32"/>
        <v>#REF!</v>
      </c>
      <c r="BK31" s="89" t="e">
        <f t="shared" si="33"/>
        <v>#REF!</v>
      </c>
      <c r="BL31" s="11" t="e">
        <f t="shared" si="34"/>
        <v>#REF!</v>
      </c>
    </row>
    <row r="32" spans="1:64" s="9" customFormat="1" x14ac:dyDescent="0.25">
      <c r="A32" s="103" t="s">
        <v>99</v>
      </c>
      <c r="B32" s="104">
        <v>0</v>
      </c>
      <c r="C32" s="104">
        <v>35128.532780000001</v>
      </c>
      <c r="D32" s="104">
        <v>0</v>
      </c>
      <c r="E32" s="105">
        <f>IF(AND(B32=0,D32=0),0,B32/(IF(C32&gt;0,C32,0)+D32))</f>
        <v>0</v>
      </c>
      <c r="F32" s="106"/>
      <c r="G32" s="107">
        <f t="shared" si="36"/>
        <v>1</v>
      </c>
      <c r="H32" s="108">
        <f>F32+G32</f>
        <v>1</v>
      </c>
      <c r="I32" s="104">
        <v>0</v>
      </c>
      <c r="J32" s="109">
        <v>1088841.7220000001</v>
      </c>
      <c r="K32" s="110">
        <v>885142.57270000002</v>
      </c>
      <c r="L32" s="104">
        <v>114195</v>
      </c>
      <c r="M32" s="104">
        <v>0</v>
      </c>
      <c r="N32" s="105">
        <f>(I32-M32)/(J32-K32-L32)</f>
        <v>0</v>
      </c>
      <c r="O32" s="106"/>
      <c r="P32" s="107">
        <f t="shared" si="37"/>
        <v>1</v>
      </c>
      <c r="Q32" s="108">
        <f>O32+P32</f>
        <v>1</v>
      </c>
      <c r="R32" s="120">
        <v>0</v>
      </c>
      <c r="S32" s="104">
        <v>1123970.2549999999</v>
      </c>
      <c r="T32" s="110">
        <v>350627.05910000001</v>
      </c>
      <c r="U32" s="105">
        <f>R32/(S32-T32)</f>
        <v>0</v>
      </c>
      <c r="V32" s="106"/>
      <c r="W32" s="107">
        <f t="shared" si="38"/>
        <v>1</v>
      </c>
      <c r="X32" s="108">
        <f t="shared" si="16"/>
        <v>1</v>
      </c>
      <c r="Y32" s="104">
        <f t="shared" si="17"/>
        <v>35128.532780000001</v>
      </c>
      <c r="Z32" s="112"/>
      <c r="AA32" s="112">
        <v>35080.375780000002</v>
      </c>
      <c r="AB32" s="112"/>
      <c r="AC32" s="112">
        <f t="shared" si="5"/>
        <v>1088841.7220000001</v>
      </c>
      <c r="AD32" s="112">
        <f t="shared" si="5"/>
        <v>885142.57270000002</v>
      </c>
      <c r="AE32" s="112">
        <f t="shared" si="5"/>
        <v>114195</v>
      </c>
      <c r="AF32" s="112">
        <f>AC32-AD32-AE32</f>
        <v>89504.149300000048</v>
      </c>
      <c r="AG32" s="112">
        <f>AF32*10%</f>
        <v>8950.4149300000045</v>
      </c>
      <c r="AH32" s="112">
        <f>IF(AA32&gt;0,AA32,0)+AG32+IF(AB32&gt;0,AB32,0)</f>
        <v>44030.790710000008</v>
      </c>
      <c r="AI32" s="113">
        <f t="shared" si="8"/>
        <v>5.3804209499368108E-4</v>
      </c>
      <c r="AJ32" s="114"/>
      <c r="AK32" s="115">
        <f t="shared" si="39"/>
        <v>1.5</v>
      </c>
      <c r="AL32" s="108">
        <f>AJ32+AK32</f>
        <v>1.5</v>
      </c>
      <c r="AM32" s="116">
        <v>20023.3</v>
      </c>
      <c r="AN32" s="107">
        <v>21499.3</v>
      </c>
      <c r="AO32" s="117">
        <f>AM32/AN32</f>
        <v>0.93134660198239017</v>
      </c>
      <c r="AP32" s="114"/>
      <c r="AQ32" s="115">
        <f t="shared" si="40"/>
        <v>1</v>
      </c>
      <c r="AR32" s="118">
        <f>AP32+AQ32</f>
        <v>1</v>
      </c>
      <c r="AS32" s="116">
        <v>48947.9</v>
      </c>
      <c r="AT32" s="107">
        <v>49346.9</v>
      </c>
      <c r="AU32" s="117">
        <f t="shared" si="22"/>
        <v>0.99191438570609303</v>
      </c>
      <c r="AV32" s="114"/>
      <c r="AW32" s="115">
        <f t="shared" si="41"/>
        <v>1</v>
      </c>
      <c r="AX32" s="118">
        <f t="shared" si="11"/>
        <v>1</v>
      </c>
      <c r="AY32" s="119">
        <f t="shared" si="24"/>
        <v>6.5</v>
      </c>
      <c r="AZ32" s="88">
        <f t="shared" si="12"/>
        <v>0.87875593130541141</v>
      </c>
      <c r="BA32" s="11">
        <f t="shared" si="25"/>
        <v>0</v>
      </c>
      <c r="BB32" s="89">
        <f t="shared" si="26"/>
        <v>0</v>
      </c>
      <c r="BC32" s="89">
        <f t="shared" si="27"/>
        <v>0</v>
      </c>
      <c r="BD32" s="89">
        <f t="shared" si="28"/>
        <v>1</v>
      </c>
      <c r="BE32" s="11">
        <f t="shared" si="29"/>
        <v>0</v>
      </c>
      <c r="BG32" s="88" t="e">
        <f>(#REF!+L32)/(J32-T32)</f>
        <v>#REF!</v>
      </c>
      <c r="BH32" s="11" t="e">
        <f t="shared" si="30"/>
        <v>#REF!</v>
      </c>
      <c r="BI32" s="89" t="e">
        <f t="shared" si="31"/>
        <v>#REF!</v>
      </c>
      <c r="BJ32" s="89" t="e">
        <f t="shared" si="32"/>
        <v>#REF!</v>
      </c>
      <c r="BK32" s="89" t="e">
        <f t="shared" si="33"/>
        <v>#REF!</v>
      </c>
      <c r="BL32" s="11" t="e">
        <f t="shared" si="34"/>
        <v>#REF!</v>
      </c>
    </row>
    <row r="33" spans="1:67" s="9" customFormat="1" x14ac:dyDescent="0.25">
      <c r="A33" s="103" t="s">
        <v>100</v>
      </c>
      <c r="B33" s="104">
        <v>0</v>
      </c>
      <c r="C33" s="104">
        <v>6271.22732</v>
      </c>
      <c r="D33" s="104">
        <v>0</v>
      </c>
      <c r="E33" s="105">
        <f t="shared" si="13"/>
        <v>0</v>
      </c>
      <c r="F33" s="106"/>
      <c r="G33" s="107">
        <f t="shared" si="36"/>
        <v>1</v>
      </c>
      <c r="H33" s="108">
        <f t="shared" si="0"/>
        <v>1</v>
      </c>
      <c r="I33" s="104">
        <v>0</v>
      </c>
      <c r="J33" s="109">
        <v>213884.80230000001</v>
      </c>
      <c r="K33" s="110">
        <v>175049.80230000001</v>
      </c>
      <c r="L33" s="104">
        <v>21681</v>
      </c>
      <c r="M33" s="104">
        <v>0</v>
      </c>
      <c r="N33" s="105">
        <f t="shared" si="15"/>
        <v>0</v>
      </c>
      <c r="O33" s="106"/>
      <c r="P33" s="107">
        <f t="shared" si="37"/>
        <v>1</v>
      </c>
      <c r="Q33" s="108">
        <f t="shared" si="2"/>
        <v>1</v>
      </c>
      <c r="R33" s="120">
        <v>0</v>
      </c>
      <c r="S33" s="104">
        <v>220156.02960000001</v>
      </c>
      <c r="T33" s="110">
        <v>79030.940409999996</v>
      </c>
      <c r="U33" s="105">
        <f t="shared" si="3"/>
        <v>0</v>
      </c>
      <c r="V33" s="106"/>
      <c r="W33" s="107">
        <f t="shared" si="38"/>
        <v>1</v>
      </c>
      <c r="X33" s="108">
        <f t="shared" si="16"/>
        <v>1</v>
      </c>
      <c r="Y33" s="104">
        <f t="shared" si="17"/>
        <v>6271.22732</v>
      </c>
      <c r="Z33" s="112"/>
      <c r="AA33" s="112">
        <v>6271.22732</v>
      </c>
      <c r="AB33" s="112"/>
      <c r="AC33" s="112">
        <f t="shared" si="5"/>
        <v>213884.80230000001</v>
      </c>
      <c r="AD33" s="112">
        <f t="shared" si="5"/>
        <v>175049.80230000001</v>
      </c>
      <c r="AE33" s="112">
        <f t="shared" si="5"/>
        <v>21681</v>
      </c>
      <c r="AF33" s="112">
        <f t="shared" si="18"/>
        <v>17154</v>
      </c>
      <c r="AG33" s="112">
        <f t="shared" ref="AG33:AG38" si="43">AF33*5%</f>
        <v>857.7</v>
      </c>
      <c r="AH33" s="112">
        <f t="shared" si="35"/>
        <v>7128.9273199999998</v>
      </c>
      <c r="AI33" s="113">
        <f t="shared" si="8"/>
        <v>0</v>
      </c>
      <c r="AJ33" s="114"/>
      <c r="AK33" s="115">
        <f t="shared" si="39"/>
        <v>1.5</v>
      </c>
      <c r="AL33" s="108">
        <f t="shared" si="9"/>
        <v>1.5</v>
      </c>
      <c r="AM33" s="116">
        <v>9501.2999999999993</v>
      </c>
      <c r="AN33" s="107">
        <v>12371.1</v>
      </c>
      <c r="AO33" s="117">
        <f t="shared" si="10"/>
        <v>0.76802386206562057</v>
      </c>
      <c r="AP33" s="114"/>
      <c r="AQ33" s="115">
        <f t="shared" si="40"/>
        <v>1</v>
      </c>
      <c r="AR33" s="118">
        <f>AP33+AQ33</f>
        <v>1</v>
      </c>
      <c r="AS33" s="116">
        <v>27158.7</v>
      </c>
      <c r="AT33" s="107">
        <v>31333.4</v>
      </c>
      <c r="AU33" s="117">
        <f t="shared" si="22"/>
        <v>0.86676517709536782</v>
      </c>
      <c r="AV33" s="114"/>
      <c r="AW33" s="115">
        <f t="shared" si="41"/>
        <v>1</v>
      </c>
      <c r="AX33" s="118">
        <f t="shared" si="11"/>
        <v>1</v>
      </c>
      <c r="AY33" s="119">
        <f t="shared" si="24"/>
        <v>6.5</v>
      </c>
      <c r="AZ33" s="88">
        <f t="shared" si="12"/>
        <v>0.87279563403239824</v>
      </c>
      <c r="BA33" s="11">
        <f t="shared" si="25"/>
        <v>0</v>
      </c>
      <c r="BB33" s="89">
        <f t="shared" si="26"/>
        <v>0</v>
      </c>
      <c r="BC33" s="89">
        <f t="shared" si="27"/>
        <v>0</v>
      </c>
      <c r="BD33" s="89">
        <f t="shared" si="28"/>
        <v>1</v>
      </c>
      <c r="BE33" s="11">
        <f t="shared" si="29"/>
        <v>0</v>
      </c>
      <c r="BG33" s="88" t="e">
        <f>(#REF!+L33)/(J33-T33)</f>
        <v>#REF!</v>
      </c>
      <c r="BH33" s="11" t="e">
        <f t="shared" si="30"/>
        <v>#REF!</v>
      </c>
      <c r="BI33" s="89" t="e">
        <f t="shared" si="31"/>
        <v>#REF!</v>
      </c>
      <c r="BJ33" s="89" t="e">
        <f t="shared" si="32"/>
        <v>#REF!</v>
      </c>
      <c r="BK33" s="89" t="e">
        <f t="shared" si="33"/>
        <v>#REF!</v>
      </c>
      <c r="BL33" s="11" t="e">
        <f t="shared" si="34"/>
        <v>#REF!</v>
      </c>
    </row>
    <row r="34" spans="1:67" s="9" customFormat="1" x14ac:dyDescent="0.25">
      <c r="A34" s="103" t="s">
        <v>101</v>
      </c>
      <c r="B34" s="104">
        <v>0</v>
      </c>
      <c r="C34" s="104">
        <v>3344.7778699999999</v>
      </c>
      <c r="D34" s="104">
        <v>0</v>
      </c>
      <c r="E34" s="105">
        <f>IF(AND(B34=0,D34=0),0,B34/(IF(C34&gt;0,C34,0)+D34))</f>
        <v>0</v>
      </c>
      <c r="F34" s="106"/>
      <c r="G34" s="107">
        <f>IF(E34&lt;=1.05,1,0)</f>
        <v>1</v>
      </c>
      <c r="H34" s="108">
        <f>F34+G34</f>
        <v>1</v>
      </c>
      <c r="I34" s="104">
        <v>0</v>
      </c>
      <c r="J34" s="109">
        <v>361907.51189999998</v>
      </c>
      <c r="K34" s="110">
        <v>244914.14050000001</v>
      </c>
      <c r="L34" s="104">
        <v>46323</v>
      </c>
      <c r="M34" s="104">
        <v>0</v>
      </c>
      <c r="N34" s="105">
        <f>(I34-M34)/(J34-K34-L34)</f>
        <v>0</v>
      </c>
      <c r="O34" s="106"/>
      <c r="P34" s="107">
        <f>IF(N34&lt;=0.5,1,0)</f>
        <v>1</v>
      </c>
      <c r="Q34" s="108">
        <f>O34+P34</f>
        <v>1</v>
      </c>
      <c r="R34" s="120">
        <v>0</v>
      </c>
      <c r="S34" s="104">
        <v>365252.28980000003</v>
      </c>
      <c r="T34" s="110">
        <v>151465.1874</v>
      </c>
      <c r="U34" s="105">
        <f>R34/(S34-T34)</f>
        <v>0</v>
      </c>
      <c r="V34" s="106"/>
      <c r="W34" s="107">
        <f>IF(U34&lt;=0.15,1,0)</f>
        <v>1</v>
      </c>
      <c r="X34" s="108">
        <f>V34+W34</f>
        <v>1</v>
      </c>
      <c r="Y34" s="104">
        <f t="shared" si="17"/>
        <v>3344.7778699999999</v>
      </c>
      <c r="Z34" s="112"/>
      <c r="AA34" s="112">
        <v>3344.7778699999999</v>
      </c>
      <c r="AB34" s="112"/>
      <c r="AC34" s="112">
        <f>J34</f>
        <v>361907.51189999998</v>
      </c>
      <c r="AD34" s="112">
        <f>K34</f>
        <v>244914.14050000001</v>
      </c>
      <c r="AE34" s="112">
        <f>L34</f>
        <v>46323</v>
      </c>
      <c r="AF34" s="112">
        <f>AC34-AD34-AE34</f>
        <v>70670.371399999975</v>
      </c>
      <c r="AG34" s="112">
        <f>AF34*5%</f>
        <v>3533.5185699999988</v>
      </c>
      <c r="AH34" s="112">
        <f>IF(AA34&gt;0,AA34,0)+AG34+IF(AB34&gt;0,AB34,0)</f>
        <v>6878.2964399999983</v>
      </c>
      <c r="AI34" s="113">
        <f>IF((Y34-IF(Z34&gt;0,Z34,0)-IF(AA34&gt;0,AA34,0)-IF(AB34&gt;0,AB34,0))/(AC34-AD34-AE34)&gt;0,(Y34-IF(Z34&gt;0,Z34,0)-IF(AA34&gt;0,AA34,0)-IF(AB34&gt;0,AB34,0))/(AC34-AD34-AE34),0)</f>
        <v>0</v>
      </c>
      <c r="AJ34" s="114"/>
      <c r="AK34" s="115">
        <f>IF(AI34&lt;=0.05,1.5,0)</f>
        <v>1.5</v>
      </c>
      <c r="AL34" s="108">
        <f>AJ34+AK34</f>
        <v>1.5</v>
      </c>
      <c r="AM34" s="116">
        <v>14342.2</v>
      </c>
      <c r="AN34" s="107">
        <v>15096.2</v>
      </c>
      <c r="AO34" s="117">
        <f>AM34/AN34</f>
        <v>0.95005365588691193</v>
      </c>
      <c r="AP34" s="114"/>
      <c r="AQ34" s="115">
        <f>IF(AO34&lt;=1,1,0)</f>
        <v>1</v>
      </c>
      <c r="AR34" s="118">
        <f>AP34+AQ34</f>
        <v>1</v>
      </c>
      <c r="AS34" s="116">
        <v>36142.699999999997</v>
      </c>
      <c r="AT34" s="107">
        <v>37466.9</v>
      </c>
      <c r="AU34" s="117">
        <f>AS34/AT34</f>
        <v>0.96465680373876661</v>
      </c>
      <c r="AV34" s="114"/>
      <c r="AW34" s="115">
        <f>IF(AU34&lt;=1,1,0)</f>
        <v>1</v>
      </c>
      <c r="AX34" s="118">
        <f>AV34+AW34</f>
        <v>1</v>
      </c>
      <c r="AY34" s="119">
        <f t="shared" si="24"/>
        <v>6.5</v>
      </c>
      <c r="AZ34" s="88">
        <f t="shared" si="12"/>
        <v>0.66418175826602788</v>
      </c>
      <c r="BA34" s="11">
        <f t="shared" si="25"/>
        <v>0</v>
      </c>
      <c r="BB34" s="89">
        <f t="shared" si="26"/>
        <v>0</v>
      </c>
      <c r="BC34" s="89">
        <f t="shared" si="27"/>
        <v>1</v>
      </c>
      <c r="BD34" s="89">
        <f t="shared" si="28"/>
        <v>0</v>
      </c>
      <c r="BE34" s="11">
        <f t="shared" si="29"/>
        <v>0</v>
      </c>
      <c r="BG34" s="88" t="e">
        <f>(#REF!+L34)/(J34-T34)</f>
        <v>#REF!</v>
      </c>
      <c r="BH34" s="11" t="e">
        <f t="shared" si="30"/>
        <v>#REF!</v>
      </c>
      <c r="BI34" s="89" t="e">
        <f t="shared" si="31"/>
        <v>#REF!</v>
      </c>
      <c r="BJ34" s="89" t="e">
        <f t="shared" si="32"/>
        <v>#REF!</v>
      </c>
      <c r="BK34" s="89" t="e">
        <f t="shared" si="33"/>
        <v>#REF!</v>
      </c>
      <c r="BL34" s="11" t="e">
        <f t="shared" si="34"/>
        <v>#REF!</v>
      </c>
    </row>
    <row r="35" spans="1:67" s="9" customFormat="1" x14ac:dyDescent="0.25">
      <c r="A35" s="94" t="s">
        <v>102</v>
      </c>
      <c r="B35" s="66">
        <v>0</v>
      </c>
      <c r="C35" s="66">
        <v>73452.939050000001</v>
      </c>
      <c r="D35" s="66">
        <v>10000</v>
      </c>
      <c r="E35" s="74">
        <f t="shared" si="13"/>
        <v>0</v>
      </c>
      <c r="F35" s="91">
        <f>IF(E35&lt;=1.05,1,0)</f>
        <v>1</v>
      </c>
      <c r="G35" s="81"/>
      <c r="H35" s="82">
        <f t="shared" si="0"/>
        <v>1</v>
      </c>
      <c r="I35" s="66">
        <v>20972.775000000001</v>
      </c>
      <c r="J35" s="71">
        <v>880634.07570000004</v>
      </c>
      <c r="K35" s="72">
        <v>503175.02519999997</v>
      </c>
      <c r="L35" s="66">
        <v>102176</v>
      </c>
      <c r="M35" s="66">
        <v>0</v>
      </c>
      <c r="N35" s="74">
        <f t="shared" si="15"/>
        <v>7.6186219826854168E-2</v>
      </c>
      <c r="O35" s="91">
        <f>IF(N35&lt;=1,1,0)</f>
        <v>1</v>
      </c>
      <c r="P35" s="81"/>
      <c r="Q35" s="82">
        <f t="shared" si="2"/>
        <v>1</v>
      </c>
      <c r="R35" s="92">
        <v>1879.2739999999999</v>
      </c>
      <c r="S35" s="66">
        <v>953628.34420000005</v>
      </c>
      <c r="T35" s="72">
        <v>294536.42210000003</v>
      </c>
      <c r="U35" s="74">
        <f t="shared" si="3"/>
        <v>2.8513078934608287E-3</v>
      </c>
      <c r="V35" s="91">
        <f>IF(U35&lt;=0.15,1,0)</f>
        <v>1</v>
      </c>
      <c r="W35" s="81"/>
      <c r="X35" s="82">
        <f t="shared" si="16"/>
        <v>1</v>
      </c>
      <c r="Y35" s="66">
        <f t="shared" si="17"/>
        <v>73452.939050000001</v>
      </c>
      <c r="Z35" s="77"/>
      <c r="AA35" s="77">
        <v>83452.939050000001</v>
      </c>
      <c r="AB35" s="77"/>
      <c r="AC35" s="77">
        <f t="shared" si="5"/>
        <v>880634.07570000004</v>
      </c>
      <c r="AD35" s="77">
        <f t="shared" si="5"/>
        <v>503175.02519999997</v>
      </c>
      <c r="AE35" s="77">
        <f t="shared" si="5"/>
        <v>102176</v>
      </c>
      <c r="AF35" s="77">
        <f t="shared" si="18"/>
        <v>275283.05050000007</v>
      </c>
      <c r="AG35" s="77">
        <f t="shared" si="43"/>
        <v>13764.152525000005</v>
      </c>
      <c r="AH35" s="77">
        <f t="shared" si="35"/>
        <v>97217.091574999999</v>
      </c>
      <c r="AI35" s="95">
        <f t="shared" si="8"/>
        <v>0</v>
      </c>
      <c r="AJ35" s="80">
        <f>IF(AI35&lt;=0.1,1.5,0)</f>
        <v>1.5</v>
      </c>
      <c r="AK35" s="96"/>
      <c r="AL35" s="82">
        <f t="shared" si="9"/>
        <v>1.5</v>
      </c>
      <c r="AM35" s="83">
        <v>27761.8</v>
      </c>
      <c r="AN35" s="81">
        <v>29838.799999999999</v>
      </c>
      <c r="AO35" s="93">
        <f t="shared" si="10"/>
        <v>0.93039264313578296</v>
      </c>
      <c r="AP35" s="80">
        <f>IF(AO35&lt;=1,1,0)</f>
        <v>1</v>
      </c>
      <c r="AQ35" s="96"/>
      <c r="AR35" s="97">
        <f t="shared" si="21"/>
        <v>1</v>
      </c>
      <c r="AS35" s="83">
        <v>61413.4</v>
      </c>
      <c r="AT35" s="81">
        <v>68219.8</v>
      </c>
      <c r="AU35" s="93">
        <f t="shared" si="22"/>
        <v>0.90022837944409095</v>
      </c>
      <c r="AV35" s="80">
        <f>IF(AU35&lt;=1,1,0)</f>
        <v>1</v>
      </c>
      <c r="AW35" s="96"/>
      <c r="AX35" s="97">
        <f t="shared" si="11"/>
        <v>1</v>
      </c>
      <c r="AY35" s="87">
        <f t="shared" si="24"/>
        <v>6.5</v>
      </c>
      <c r="AZ35" s="88">
        <f t="shared" si="12"/>
        <v>0.53031197308311484</v>
      </c>
      <c r="BA35" s="11">
        <f t="shared" si="25"/>
        <v>0</v>
      </c>
      <c r="BB35" s="89">
        <f t="shared" si="26"/>
        <v>0</v>
      </c>
      <c r="BC35" s="89">
        <f t="shared" si="27"/>
        <v>1</v>
      </c>
      <c r="BD35" s="89">
        <f t="shared" si="28"/>
        <v>0</v>
      </c>
      <c r="BE35" s="11">
        <f t="shared" si="29"/>
        <v>0</v>
      </c>
      <c r="BG35" s="88" t="e">
        <f>(#REF!+L35)/(J35-T35)</f>
        <v>#REF!</v>
      </c>
      <c r="BH35" s="11" t="e">
        <f t="shared" si="30"/>
        <v>#REF!</v>
      </c>
      <c r="BI35" s="89" t="e">
        <f t="shared" si="31"/>
        <v>#REF!</v>
      </c>
      <c r="BJ35" s="89" t="e">
        <f t="shared" si="32"/>
        <v>#REF!</v>
      </c>
      <c r="BK35" s="89" t="e">
        <f t="shared" si="33"/>
        <v>#REF!</v>
      </c>
      <c r="BL35" s="11" t="e">
        <f t="shared" si="34"/>
        <v>#REF!</v>
      </c>
    </row>
    <row r="36" spans="1:67" s="9" customFormat="1" x14ac:dyDescent="0.25">
      <c r="A36" s="103" t="s">
        <v>103</v>
      </c>
      <c r="B36" s="104">
        <v>0</v>
      </c>
      <c r="C36" s="104">
        <v>10070.83201</v>
      </c>
      <c r="D36" s="104">
        <v>0</v>
      </c>
      <c r="E36" s="105">
        <f t="shared" si="13"/>
        <v>0</v>
      </c>
      <c r="F36" s="106"/>
      <c r="G36" s="107">
        <f t="shared" si="36"/>
        <v>1</v>
      </c>
      <c r="H36" s="108">
        <f t="shared" si="0"/>
        <v>1</v>
      </c>
      <c r="I36" s="104">
        <v>0</v>
      </c>
      <c r="J36" s="109">
        <v>441604.26449999999</v>
      </c>
      <c r="K36" s="110">
        <v>327075.91450000001</v>
      </c>
      <c r="L36" s="104">
        <v>62767</v>
      </c>
      <c r="M36" s="104">
        <v>0</v>
      </c>
      <c r="N36" s="105">
        <f t="shared" si="15"/>
        <v>0</v>
      </c>
      <c r="O36" s="106"/>
      <c r="P36" s="107">
        <f t="shared" si="37"/>
        <v>1</v>
      </c>
      <c r="Q36" s="108">
        <f t="shared" si="2"/>
        <v>1</v>
      </c>
      <c r="R36" s="120">
        <v>0</v>
      </c>
      <c r="S36" s="104">
        <v>451675.09649999999</v>
      </c>
      <c r="T36" s="110">
        <v>152864.0288</v>
      </c>
      <c r="U36" s="105">
        <f t="shared" si="3"/>
        <v>0</v>
      </c>
      <c r="V36" s="106"/>
      <c r="W36" s="107">
        <f t="shared" si="38"/>
        <v>1</v>
      </c>
      <c r="X36" s="108">
        <f t="shared" si="16"/>
        <v>1</v>
      </c>
      <c r="Y36" s="104">
        <f t="shared" si="17"/>
        <v>10070.83201</v>
      </c>
      <c r="Z36" s="112"/>
      <c r="AA36" s="112">
        <v>10070.83201</v>
      </c>
      <c r="AB36" s="112"/>
      <c r="AC36" s="112">
        <f t="shared" si="5"/>
        <v>441604.26449999999</v>
      </c>
      <c r="AD36" s="112">
        <f t="shared" si="5"/>
        <v>327075.91450000001</v>
      </c>
      <c r="AE36" s="112">
        <f t="shared" si="5"/>
        <v>62767</v>
      </c>
      <c r="AF36" s="112">
        <f t="shared" si="18"/>
        <v>51761.349999999977</v>
      </c>
      <c r="AG36" s="112">
        <f t="shared" si="43"/>
        <v>2588.0674999999992</v>
      </c>
      <c r="AH36" s="112">
        <f t="shared" si="35"/>
        <v>12658.899509999999</v>
      </c>
      <c r="AI36" s="113">
        <f t="shared" si="8"/>
        <v>0</v>
      </c>
      <c r="AJ36" s="106"/>
      <c r="AK36" s="115">
        <f>IF(AI36&lt;=0.05,1.5,0)</f>
        <v>1.5</v>
      </c>
      <c r="AL36" s="108">
        <f t="shared" si="9"/>
        <v>1.5</v>
      </c>
      <c r="AM36" s="116">
        <v>13492.1</v>
      </c>
      <c r="AN36" s="107">
        <v>15096.2</v>
      </c>
      <c r="AO36" s="117">
        <f t="shared" si="10"/>
        <v>0.89374147136365445</v>
      </c>
      <c r="AP36" s="106"/>
      <c r="AQ36" s="115">
        <f>IF(AO36&lt;=1,1,0)</f>
        <v>1</v>
      </c>
      <c r="AR36" s="118">
        <f t="shared" si="21"/>
        <v>1</v>
      </c>
      <c r="AS36" s="116">
        <v>37221.9</v>
      </c>
      <c r="AT36" s="107">
        <v>37466.9</v>
      </c>
      <c r="AU36" s="117">
        <f t="shared" si="22"/>
        <v>0.99346089481649136</v>
      </c>
      <c r="AV36" s="106"/>
      <c r="AW36" s="115">
        <f>IF(AU36&lt;=1,1,0)</f>
        <v>1</v>
      </c>
      <c r="AX36" s="118">
        <f t="shared" si="11"/>
        <v>1</v>
      </c>
      <c r="AY36" s="119">
        <f t="shared" si="24"/>
        <v>6.5</v>
      </c>
      <c r="AZ36" s="88">
        <f t="shared" si="12"/>
        <v>0.820733851399291</v>
      </c>
      <c r="BA36" s="11">
        <f t="shared" si="25"/>
        <v>0</v>
      </c>
      <c r="BB36" s="89">
        <f t="shared" si="26"/>
        <v>0</v>
      </c>
      <c r="BC36" s="89">
        <f t="shared" si="27"/>
        <v>0</v>
      </c>
      <c r="BD36" s="89">
        <f t="shared" si="28"/>
        <v>1</v>
      </c>
      <c r="BE36" s="11">
        <f t="shared" si="29"/>
        <v>0</v>
      </c>
      <c r="BG36" s="88" t="e">
        <f>(#REF!+L36)/(J36-T36)</f>
        <v>#REF!</v>
      </c>
      <c r="BH36" s="11" t="e">
        <f t="shared" si="30"/>
        <v>#REF!</v>
      </c>
      <c r="BI36" s="89" t="e">
        <f t="shared" si="31"/>
        <v>#REF!</v>
      </c>
      <c r="BJ36" s="89" t="e">
        <f t="shared" si="32"/>
        <v>#REF!</v>
      </c>
      <c r="BK36" s="89" t="e">
        <f t="shared" si="33"/>
        <v>#REF!</v>
      </c>
      <c r="BL36" s="11" t="e">
        <f t="shared" si="34"/>
        <v>#REF!</v>
      </c>
    </row>
    <row r="37" spans="1:67" s="9" customFormat="1" x14ac:dyDescent="0.25">
      <c r="A37" s="94" t="s">
        <v>104</v>
      </c>
      <c r="B37" s="66">
        <v>0</v>
      </c>
      <c r="C37" s="66">
        <v>7335.3697499999998</v>
      </c>
      <c r="D37" s="66">
        <v>0</v>
      </c>
      <c r="E37" s="74">
        <f t="shared" si="13"/>
        <v>0</v>
      </c>
      <c r="F37" s="91">
        <f>IF(E37&lt;=1.05,1,0)</f>
        <v>1</v>
      </c>
      <c r="G37" s="81"/>
      <c r="H37" s="82">
        <f t="shared" si="0"/>
        <v>1</v>
      </c>
      <c r="I37" s="66">
        <v>0</v>
      </c>
      <c r="J37" s="71">
        <v>477848.98959999997</v>
      </c>
      <c r="K37" s="72">
        <v>343540.68959999998</v>
      </c>
      <c r="L37" s="66">
        <v>85874</v>
      </c>
      <c r="M37" s="66">
        <v>0</v>
      </c>
      <c r="N37" s="74">
        <f t="shared" si="15"/>
        <v>0</v>
      </c>
      <c r="O37" s="91">
        <f>IF(N37&lt;=1,1,0)</f>
        <v>1</v>
      </c>
      <c r="P37" s="81"/>
      <c r="Q37" s="82">
        <f t="shared" si="2"/>
        <v>1</v>
      </c>
      <c r="R37" s="92">
        <v>0</v>
      </c>
      <c r="S37" s="66">
        <v>485184.35940000002</v>
      </c>
      <c r="T37" s="72">
        <v>244890.2022</v>
      </c>
      <c r="U37" s="74">
        <f t="shared" si="3"/>
        <v>0</v>
      </c>
      <c r="V37" s="91">
        <f>IF(U37&lt;=0.15,1,0)</f>
        <v>1</v>
      </c>
      <c r="W37" s="81"/>
      <c r="X37" s="82">
        <f t="shared" si="16"/>
        <v>1</v>
      </c>
      <c r="Y37" s="66">
        <f t="shared" si="17"/>
        <v>7335.3697499999998</v>
      </c>
      <c r="Z37" s="77"/>
      <c r="AA37" s="77">
        <v>7335.3697499999998</v>
      </c>
      <c r="AB37" s="77"/>
      <c r="AC37" s="77">
        <f t="shared" si="5"/>
        <v>477848.98959999997</v>
      </c>
      <c r="AD37" s="77">
        <f t="shared" si="5"/>
        <v>343540.68959999998</v>
      </c>
      <c r="AE37" s="77">
        <f t="shared" si="5"/>
        <v>85874</v>
      </c>
      <c r="AF37" s="77">
        <f t="shared" si="18"/>
        <v>48434.299999999988</v>
      </c>
      <c r="AG37" s="77">
        <f t="shared" si="43"/>
        <v>2421.7149999999997</v>
      </c>
      <c r="AH37" s="77">
        <f t="shared" si="35"/>
        <v>9757.08475</v>
      </c>
      <c r="AI37" s="95">
        <f t="shared" si="8"/>
        <v>0</v>
      </c>
      <c r="AJ37" s="80">
        <f>IF(AI37&lt;=0.1,1.5,0)</f>
        <v>1.5</v>
      </c>
      <c r="AK37" s="96"/>
      <c r="AL37" s="82">
        <f t="shared" si="9"/>
        <v>1.5</v>
      </c>
      <c r="AM37" s="83">
        <v>12022.3</v>
      </c>
      <c r="AN37" s="81">
        <v>17840.7</v>
      </c>
      <c r="AO37" s="93">
        <f t="shared" si="10"/>
        <v>0.67386929885038138</v>
      </c>
      <c r="AP37" s="80">
        <f>IF(AO37&lt;=1,1,0)</f>
        <v>1</v>
      </c>
      <c r="AQ37" s="96"/>
      <c r="AR37" s="97">
        <f t="shared" si="21"/>
        <v>1</v>
      </c>
      <c r="AS37" s="83">
        <v>38626.199999999997</v>
      </c>
      <c r="AT37" s="81">
        <v>42505.2</v>
      </c>
      <c r="AU37" s="93">
        <f t="shared" si="22"/>
        <v>0.90874057762344373</v>
      </c>
      <c r="AV37" s="80">
        <f>IF(AU37&lt;=1,1,0)</f>
        <v>1</v>
      </c>
      <c r="AW37" s="96"/>
      <c r="AX37" s="97">
        <f t="shared" si="11"/>
        <v>1</v>
      </c>
      <c r="AY37" s="87">
        <f t="shared" si="24"/>
        <v>6.5</v>
      </c>
      <c r="AZ37" s="88">
        <f t="shared" si="12"/>
        <v>0.79209069320559145</v>
      </c>
      <c r="BA37" s="11">
        <f t="shared" si="25"/>
        <v>0</v>
      </c>
      <c r="BB37" s="89">
        <f t="shared" si="26"/>
        <v>0</v>
      </c>
      <c r="BC37" s="89">
        <f t="shared" si="27"/>
        <v>0</v>
      </c>
      <c r="BD37" s="89">
        <f t="shared" si="28"/>
        <v>1</v>
      </c>
      <c r="BE37" s="11">
        <f t="shared" si="29"/>
        <v>0</v>
      </c>
      <c r="BG37" s="88" t="e">
        <f>(#REF!+L37)/(J37-T37)</f>
        <v>#REF!</v>
      </c>
      <c r="BH37" s="11" t="e">
        <f t="shared" si="30"/>
        <v>#REF!</v>
      </c>
      <c r="BI37" s="89" t="e">
        <f t="shared" si="31"/>
        <v>#REF!</v>
      </c>
      <c r="BJ37" s="89" t="e">
        <f t="shared" si="32"/>
        <v>#REF!</v>
      </c>
      <c r="BK37" s="89" t="e">
        <f t="shared" si="33"/>
        <v>#REF!</v>
      </c>
      <c r="BL37" s="11" t="e">
        <f t="shared" si="34"/>
        <v>#REF!</v>
      </c>
    </row>
    <row r="38" spans="1:67" x14ac:dyDescent="0.25">
      <c r="A38" s="103" t="s">
        <v>105</v>
      </c>
      <c r="B38" s="104">
        <v>3500</v>
      </c>
      <c r="C38" s="104">
        <v>4627.1658200000002</v>
      </c>
      <c r="D38" s="104">
        <v>4000</v>
      </c>
      <c r="E38" s="105">
        <f t="shared" si="13"/>
        <v>0.40569522749708781</v>
      </c>
      <c r="F38" s="106"/>
      <c r="G38" s="107">
        <f t="shared" si="36"/>
        <v>1</v>
      </c>
      <c r="H38" s="108">
        <f>F38+G38</f>
        <v>1</v>
      </c>
      <c r="I38" s="104">
        <v>3500</v>
      </c>
      <c r="J38" s="109">
        <v>717630.69700000004</v>
      </c>
      <c r="K38" s="110">
        <v>548561.23</v>
      </c>
      <c r="L38" s="104">
        <v>79743</v>
      </c>
      <c r="M38" s="104">
        <v>0</v>
      </c>
      <c r="N38" s="105">
        <f t="shared" si="15"/>
        <v>3.9182116091079675E-2</v>
      </c>
      <c r="O38" s="106"/>
      <c r="P38" s="107">
        <f t="shared" si="37"/>
        <v>1</v>
      </c>
      <c r="Q38" s="108">
        <f>O38+P38</f>
        <v>1</v>
      </c>
      <c r="R38" s="120">
        <v>275.57391000000001</v>
      </c>
      <c r="S38" s="104">
        <v>722257.86289999995</v>
      </c>
      <c r="T38" s="110">
        <v>222925.70370000001</v>
      </c>
      <c r="U38" s="105">
        <f t="shared" si="3"/>
        <v>5.5188496258984799E-4</v>
      </c>
      <c r="V38" s="106"/>
      <c r="W38" s="107">
        <f t="shared" si="38"/>
        <v>1</v>
      </c>
      <c r="X38" s="108">
        <f t="shared" si="16"/>
        <v>1</v>
      </c>
      <c r="Y38" s="104">
        <f t="shared" si="17"/>
        <v>4627.1658200000002</v>
      </c>
      <c r="Z38" s="112"/>
      <c r="AA38" s="112">
        <v>5127.1658200000002</v>
      </c>
      <c r="AB38" s="112"/>
      <c r="AC38" s="112">
        <f t="shared" si="5"/>
        <v>717630.69700000004</v>
      </c>
      <c r="AD38" s="112">
        <f t="shared" si="5"/>
        <v>548561.23</v>
      </c>
      <c r="AE38" s="112">
        <f t="shared" si="5"/>
        <v>79743</v>
      </c>
      <c r="AF38" s="112">
        <f t="shared" si="18"/>
        <v>89326.467000000062</v>
      </c>
      <c r="AG38" s="112">
        <f t="shared" si="43"/>
        <v>4466.3233500000033</v>
      </c>
      <c r="AH38" s="112">
        <f t="shared" si="35"/>
        <v>9593.4891700000044</v>
      </c>
      <c r="AI38" s="113">
        <f t="shared" si="8"/>
        <v>0</v>
      </c>
      <c r="AJ38" s="114"/>
      <c r="AK38" s="115">
        <f>IF(AI38&lt;=0.05,1.5,0)</f>
        <v>1.5</v>
      </c>
      <c r="AL38" s="108">
        <f t="shared" si="9"/>
        <v>1.5</v>
      </c>
      <c r="AM38" s="116">
        <v>19998.5</v>
      </c>
      <c r="AN38" s="107">
        <v>21499.3</v>
      </c>
      <c r="AO38" s="117">
        <f t="shared" si="10"/>
        <v>0.93019307605363899</v>
      </c>
      <c r="AP38" s="114"/>
      <c r="AQ38" s="115">
        <f>IF(AO38&lt;=1,1,0)</f>
        <v>1</v>
      </c>
      <c r="AR38" s="118">
        <f>AP38+AQ38</f>
        <v>1</v>
      </c>
      <c r="AS38" s="116">
        <v>46276.2</v>
      </c>
      <c r="AT38" s="107">
        <v>49346.9</v>
      </c>
      <c r="AU38" s="117">
        <f t="shared" si="22"/>
        <v>0.93777319345288146</v>
      </c>
      <c r="AV38" s="114"/>
      <c r="AW38" s="115">
        <f>IF(AU38&lt;=1,1,0)</f>
        <v>1</v>
      </c>
      <c r="AX38" s="118">
        <f t="shared" si="11"/>
        <v>1</v>
      </c>
      <c r="AY38" s="119">
        <f t="shared" si="24"/>
        <v>6.5</v>
      </c>
      <c r="AZ38" s="88">
        <f t="shared" si="12"/>
        <v>0.81943487894849176</v>
      </c>
      <c r="BA38" s="11">
        <f t="shared" si="25"/>
        <v>0</v>
      </c>
      <c r="BB38" s="89">
        <f t="shared" si="26"/>
        <v>0</v>
      </c>
      <c r="BC38" s="89">
        <f t="shared" si="27"/>
        <v>0</v>
      </c>
      <c r="BD38" s="89">
        <f t="shared" si="28"/>
        <v>1</v>
      </c>
      <c r="BE38" s="11">
        <f t="shared" si="29"/>
        <v>0</v>
      </c>
      <c r="BG38" s="88" t="e">
        <f>(#REF!+L38)/(J38-T38)</f>
        <v>#REF!</v>
      </c>
      <c r="BH38" s="11" t="e">
        <f t="shared" si="30"/>
        <v>#REF!</v>
      </c>
      <c r="BI38" s="89" t="e">
        <f t="shared" si="31"/>
        <v>#REF!</v>
      </c>
      <c r="BJ38" s="89" t="e">
        <f t="shared" si="32"/>
        <v>#REF!</v>
      </c>
      <c r="BK38" s="89" t="e">
        <f t="shared" si="33"/>
        <v>#REF!</v>
      </c>
      <c r="BL38" s="11" t="e">
        <f t="shared" si="34"/>
        <v>#REF!</v>
      </c>
    </row>
    <row r="39" spans="1:67" ht="13.8" thickBot="1" x14ac:dyDescent="0.3">
      <c r="A39" s="103" t="s">
        <v>106</v>
      </c>
      <c r="B39" s="104">
        <v>0</v>
      </c>
      <c r="C39" s="104">
        <v>30103.33524</v>
      </c>
      <c r="D39" s="104">
        <v>0</v>
      </c>
      <c r="E39" s="105">
        <f t="shared" si="13"/>
        <v>0</v>
      </c>
      <c r="F39" s="106"/>
      <c r="G39" s="107">
        <f>IF(E39&lt;=1.05,1,0)</f>
        <v>1</v>
      </c>
      <c r="H39" s="108">
        <f t="shared" si="0"/>
        <v>1</v>
      </c>
      <c r="I39" s="104">
        <v>0</v>
      </c>
      <c r="J39" s="109">
        <v>846298.93330000003</v>
      </c>
      <c r="K39" s="110">
        <v>636901.93330000003</v>
      </c>
      <c r="L39" s="104">
        <v>123811</v>
      </c>
      <c r="M39" s="104">
        <v>0</v>
      </c>
      <c r="N39" s="105">
        <f t="shared" si="15"/>
        <v>0</v>
      </c>
      <c r="O39" s="106"/>
      <c r="P39" s="107">
        <f>IF(N39&lt;=0.5,1,0)</f>
        <v>1</v>
      </c>
      <c r="Q39" s="108">
        <f t="shared" si="2"/>
        <v>1</v>
      </c>
      <c r="R39" s="120">
        <v>0</v>
      </c>
      <c r="S39" s="104">
        <v>876402.26850000001</v>
      </c>
      <c r="T39" s="110">
        <v>307535.96919999999</v>
      </c>
      <c r="U39" s="105">
        <f t="shared" si="3"/>
        <v>0</v>
      </c>
      <c r="V39" s="106"/>
      <c r="W39" s="107">
        <f>IF(U39&lt;=0.15,1,0)</f>
        <v>1</v>
      </c>
      <c r="X39" s="108">
        <f t="shared" si="16"/>
        <v>1</v>
      </c>
      <c r="Y39" s="104">
        <f t="shared" si="17"/>
        <v>30103.33524</v>
      </c>
      <c r="Z39" s="112"/>
      <c r="AA39" s="112">
        <v>30103.33524</v>
      </c>
      <c r="AB39" s="112"/>
      <c r="AC39" s="112">
        <f t="shared" si="5"/>
        <v>846298.93330000003</v>
      </c>
      <c r="AD39" s="112">
        <f t="shared" si="5"/>
        <v>636901.93330000003</v>
      </c>
      <c r="AE39" s="112">
        <f t="shared" si="5"/>
        <v>123811</v>
      </c>
      <c r="AF39" s="112">
        <f t="shared" si="18"/>
        <v>85586</v>
      </c>
      <c r="AG39" s="112">
        <f>AF39*10%</f>
        <v>8558.6</v>
      </c>
      <c r="AH39" s="112">
        <f t="shared" si="35"/>
        <v>38661.935239999999</v>
      </c>
      <c r="AI39" s="113">
        <f t="shared" si="8"/>
        <v>0</v>
      </c>
      <c r="AJ39" s="106"/>
      <c r="AK39" s="115">
        <f>IF(AI39&lt;=0.05,1.5,0)</f>
        <v>1.5</v>
      </c>
      <c r="AL39" s="108">
        <f t="shared" si="9"/>
        <v>1.5</v>
      </c>
      <c r="AM39" s="116">
        <v>18990.8</v>
      </c>
      <c r="AN39" s="107">
        <v>21499.3</v>
      </c>
      <c r="AO39" s="117">
        <f t="shared" si="10"/>
        <v>0.88332178256966509</v>
      </c>
      <c r="AP39" s="106"/>
      <c r="AQ39" s="115">
        <f>IF(AO39&lt;=1,1,0)</f>
        <v>1</v>
      </c>
      <c r="AR39" s="118">
        <f>AP39+AQ39</f>
        <v>1</v>
      </c>
      <c r="AS39" s="116">
        <v>47383.3</v>
      </c>
      <c r="AT39" s="107">
        <v>49346.9</v>
      </c>
      <c r="AU39" s="117">
        <f t="shared" si="22"/>
        <v>0.96020824003128868</v>
      </c>
      <c r="AV39" s="106"/>
      <c r="AW39" s="115">
        <f>IF(AU39&lt;=1,1,0)</f>
        <v>1</v>
      </c>
      <c r="AX39" s="118">
        <f t="shared" si="11"/>
        <v>1</v>
      </c>
      <c r="AY39" s="119">
        <f t="shared" si="24"/>
        <v>6.5</v>
      </c>
      <c r="AZ39" s="88">
        <f t="shared" si="12"/>
        <v>0.8411434977848361</v>
      </c>
      <c r="BA39" s="11">
        <f t="shared" si="25"/>
        <v>0</v>
      </c>
      <c r="BB39" s="89">
        <f t="shared" si="26"/>
        <v>0</v>
      </c>
      <c r="BC39" s="89">
        <f t="shared" si="27"/>
        <v>0</v>
      </c>
      <c r="BD39" s="89">
        <f t="shared" si="28"/>
        <v>1</v>
      </c>
      <c r="BE39" s="11">
        <f t="shared" si="29"/>
        <v>0</v>
      </c>
      <c r="BG39" s="88" t="e">
        <f>(#REF!+L39)/(J39-T39)</f>
        <v>#REF!</v>
      </c>
      <c r="BH39" s="11" t="e">
        <f t="shared" si="30"/>
        <v>#REF!</v>
      </c>
      <c r="BI39" s="89" t="e">
        <f t="shared" si="31"/>
        <v>#REF!</v>
      </c>
      <c r="BJ39" s="89" t="e">
        <f t="shared" si="32"/>
        <v>#REF!</v>
      </c>
      <c r="BK39" s="89" t="e">
        <f t="shared" si="33"/>
        <v>#REF!</v>
      </c>
      <c r="BL39" s="11" t="e">
        <f t="shared" si="34"/>
        <v>#REF!</v>
      </c>
    </row>
    <row r="40" spans="1:67" ht="14.4" thickTop="1" thickBot="1" x14ac:dyDescent="0.3">
      <c r="A40" s="123" t="s">
        <v>107</v>
      </c>
      <c r="B40" s="124">
        <f>SUM(B9:B39)</f>
        <v>2145408.1660000002</v>
      </c>
      <c r="C40" s="124">
        <f>SUM(C9:C39)</f>
        <v>791975.69050999987</v>
      </c>
      <c r="D40" s="124">
        <f>SUM(D9:D39)</f>
        <v>2081508.166</v>
      </c>
      <c r="E40" s="125"/>
      <c r="F40" s="125"/>
      <c r="G40" s="125"/>
      <c r="H40" s="126"/>
      <c r="I40" s="127">
        <f>SUM(I9:I39)</f>
        <v>2445799.605</v>
      </c>
      <c r="J40" s="127">
        <f>SUM(J9:J39)</f>
        <v>32042160.163699999</v>
      </c>
      <c r="K40" s="127">
        <f>SUM(K9:K39)</f>
        <v>23746160.955800001</v>
      </c>
      <c r="L40" s="127">
        <f>SUM(L9:L39)</f>
        <v>2752014</v>
      </c>
      <c r="M40" s="125">
        <f>SUM(M9:M39)</f>
        <v>0</v>
      </c>
      <c r="N40" s="125"/>
      <c r="O40" s="125"/>
      <c r="P40" s="125"/>
      <c r="Q40" s="126"/>
      <c r="R40" s="128">
        <f>SUM(R9:R39)</f>
        <v>159353.44271000003</v>
      </c>
      <c r="S40" s="127">
        <f>SUM(S9:S39)</f>
        <v>32831175.293399997</v>
      </c>
      <c r="T40" s="127">
        <f>SUM(T9:T39)</f>
        <v>10765846.80369</v>
      </c>
      <c r="U40" s="125"/>
      <c r="V40" s="125"/>
      <c r="W40" s="125"/>
      <c r="X40" s="126"/>
      <c r="Y40" s="129">
        <f t="shared" ref="Y40:AE40" si="44">SUM(Y9:Y39)</f>
        <v>791975.69050999987</v>
      </c>
      <c r="Z40" s="128">
        <f t="shared" si="44"/>
        <v>0</v>
      </c>
      <c r="AA40" s="128">
        <f t="shared" si="44"/>
        <v>728018.32435000001</v>
      </c>
      <c r="AB40" s="128">
        <f t="shared" si="44"/>
        <v>0</v>
      </c>
      <c r="AC40" s="128">
        <f t="shared" si="44"/>
        <v>32042160.163699999</v>
      </c>
      <c r="AD40" s="128">
        <f t="shared" si="44"/>
        <v>23746160.955800001</v>
      </c>
      <c r="AE40" s="128">
        <f t="shared" si="44"/>
        <v>2752014</v>
      </c>
      <c r="AF40" s="130"/>
      <c r="AG40" s="130"/>
      <c r="AH40" s="130"/>
      <c r="AI40" s="125"/>
      <c r="AJ40" s="125"/>
      <c r="AK40" s="125"/>
      <c r="AL40" s="125"/>
      <c r="AM40" s="128">
        <f>SUM(AM9:AM39)</f>
        <v>805852.6</v>
      </c>
      <c r="AN40" s="128">
        <f>SUM(AN9:AN39)</f>
        <v>891438.79999999981</v>
      </c>
      <c r="AO40" s="125"/>
      <c r="AP40" s="125"/>
      <c r="AQ40" s="125"/>
      <c r="AR40" s="125"/>
      <c r="AS40" s="128">
        <f>SUM(AS9:AS39)</f>
        <v>1856688.6999999995</v>
      </c>
      <c r="AT40" s="128">
        <f>SUM(AT9:AT39)</f>
        <v>1982321.1999999986</v>
      </c>
      <c r="AU40" s="125"/>
      <c r="AV40" s="125"/>
      <c r="AW40" s="125"/>
      <c r="AX40" s="125"/>
      <c r="AY40" s="131"/>
      <c r="AZ40" s="132"/>
      <c r="BA40" s="133">
        <f>SUM(BA9:BA39)</f>
        <v>0</v>
      </c>
      <c r="BB40" s="133">
        <f>SUM(BB9:BB39)</f>
        <v>0</v>
      </c>
      <c r="BC40" s="133">
        <f>SUM(BC9:BC39)</f>
        <v>3</v>
      </c>
      <c r="BD40" s="133">
        <f>SUM(BD9:BD39)</f>
        <v>26</v>
      </c>
      <c r="BE40" s="133">
        <f>SUM(BE9:BE39)</f>
        <v>2</v>
      </c>
      <c r="BG40" s="132"/>
      <c r="BH40" s="133" t="e">
        <f>SUM(BH9:BH39)</f>
        <v>#REF!</v>
      </c>
      <c r="BI40" s="133" t="e">
        <f>SUM(BI9:BI39)</f>
        <v>#REF!</v>
      </c>
      <c r="BJ40" s="133" t="e">
        <f>SUM(BJ9:BJ39)</f>
        <v>#REF!</v>
      </c>
      <c r="BK40" s="133" t="e">
        <f>SUM(BK9:BK39)</f>
        <v>#REF!</v>
      </c>
      <c r="BL40" s="133" t="e">
        <f>SUM(BL9:BL39)</f>
        <v>#REF!</v>
      </c>
    </row>
    <row r="41" spans="1:67" ht="13.8" thickTop="1" x14ac:dyDescent="0.25">
      <c r="BA41" s="1"/>
      <c r="BC41" s="11" t="s">
        <v>108</v>
      </c>
      <c r="BD41" s="11" t="e">
        <f>BD9+BD10+BD11+BD12+BD13+#REF!</f>
        <v>#REF!</v>
      </c>
      <c r="BE41" s="11" t="e">
        <f>BE9+BE10+BE11+BE12+BE13+#REF!</f>
        <v>#REF!</v>
      </c>
      <c r="BF41" s="11" t="e">
        <f>BF9+BF10+BF11+BF12+BF13+#REF!</f>
        <v>#REF!</v>
      </c>
      <c r="BG41" s="11" t="e">
        <f>BG9+BG10+BG11+BG12+BG13+#REF!</f>
        <v>#REF!</v>
      </c>
      <c r="BH41" s="11" t="e">
        <f>BH9+BH10+BH11+BH12+BH13+#REF!</f>
        <v>#REF!</v>
      </c>
      <c r="BJ41" s="11" t="s">
        <v>108</v>
      </c>
      <c r="BK41" s="11" t="e">
        <f>BK9+BK10+BK11+BK12+BK13+#REF!</f>
        <v>#REF!</v>
      </c>
      <c r="BL41" s="11" t="e">
        <f>BL9+BL10+BL11+BL12+BL13+#REF!</f>
        <v>#REF!</v>
      </c>
      <c r="BM41" s="11" t="e">
        <f>BM9+BM10+BM11+BM12+BM13+#REF!</f>
        <v>#REF!</v>
      </c>
      <c r="BN41" s="11" t="e">
        <f>BN9+BN10+BN11+BN12+BN13+#REF!</f>
        <v>#REF!</v>
      </c>
      <c r="BO41" s="11" t="e">
        <f>BO9+BO10+BO11+BO12+BO13+#REF!</f>
        <v>#REF!</v>
      </c>
    </row>
    <row r="42" spans="1:67" x14ac:dyDescent="0.25">
      <c r="B42" s="134"/>
      <c r="C42" s="134"/>
      <c r="D42" s="134"/>
      <c r="L42" s="135"/>
      <c r="BC42" s="11" t="s">
        <v>109</v>
      </c>
      <c r="BD42" s="11" t="e">
        <f>BD40-BD41</f>
        <v>#REF!</v>
      </c>
      <c r="BE42" s="11" t="e">
        <f>BE40-BE41</f>
        <v>#REF!</v>
      </c>
      <c r="BF42" s="11" t="e">
        <f>BF40-BF41</f>
        <v>#REF!</v>
      </c>
      <c r="BG42" s="11" t="e">
        <f>BG40-BG41</f>
        <v>#REF!</v>
      </c>
      <c r="BH42" s="11" t="e">
        <f>BH40-BH41</f>
        <v>#REF!</v>
      </c>
      <c r="BJ42" s="11" t="s">
        <v>109</v>
      </c>
      <c r="BK42" s="11" t="e">
        <f>BK40-BK41</f>
        <v>#REF!</v>
      </c>
      <c r="BL42" s="11" t="e">
        <f>BL40-BL41</f>
        <v>#REF!</v>
      </c>
      <c r="BM42" s="11" t="e">
        <f>BM40-BM41</f>
        <v>#REF!</v>
      </c>
      <c r="BN42" s="11" t="e">
        <f>BN40-BN41</f>
        <v>#REF!</v>
      </c>
      <c r="BO42" s="11" t="e">
        <f>BO40-BO41</f>
        <v>#REF!</v>
      </c>
    </row>
    <row r="43" spans="1:67" x14ac:dyDescent="0.25">
      <c r="L43" s="136"/>
    </row>
  </sheetData>
  <mergeCells count="14">
    <mergeCell ref="AM3:AR3"/>
    <mergeCell ref="AS3:AX3"/>
    <mergeCell ref="B4:D4"/>
    <mergeCell ref="I4:K4"/>
    <mergeCell ref="R4:T4"/>
    <mergeCell ref="Y4:AA4"/>
    <mergeCell ref="AM4:AN4"/>
    <mergeCell ref="AS4:AT4"/>
    <mergeCell ref="B1:H2"/>
    <mergeCell ref="A3:A6"/>
    <mergeCell ref="B3:H3"/>
    <mergeCell ref="I3:Q3"/>
    <mergeCell ref="R3:X3"/>
    <mergeCell ref="Y3:AL3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4 кв. (план)</vt:lpstr>
      <vt:lpstr>'за 4 кв. (план)'!Заголовки_для_печати</vt:lpstr>
      <vt:lpstr>'за 4 кв. (план)'!Область_печати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2022-01-28T07:49:28Z</dcterms:created>
  <dcterms:modified xsi:type="dcterms:W3CDTF">2022-01-28T09:09:47Z</dcterms:modified>
</cp:coreProperties>
</file>