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20" windowHeight="10875" activeTab="0"/>
  </bookViews>
  <sheets>
    <sheet name="за 2 кв." sheetId="1" r:id="rId1"/>
  </sheets>
  <externalReferences>
    <externalReference r:id="rId4"/>
  </externalReferences>
  <definedNames>
    <definedName name="_xlnm.Print_Titles" localSheetId="0">'за 2 кв.'!$A:$A</definedName>
    <definedName name="_xlnm.Print_Area" localSheetId="0">'за 2 кв.'!$A$1:$AR$43</definedName>
  </definedNames>
  <calcPr fullCalcOnLoad="1"/>
</workbook>
</file>

<file path=xl/sharedStrings.xml><?xml version="1.0" encoding="utf-8"?>
<sst xmlns="http://schemas.openxmlformats.org/spreadsheetml/2006/main" count="131" uniqueCount="100">
  <si>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01.07.2015</t>
  </si>
  <si>
    <t>раздел 1300</t>
  </si>
  <si>
    <t>тыс.руб.</t>
  </si>
  <si>
    <t>P1</t>
  </si>
  <si>
    <t>P2</t>
  </si>
  <si>
    <t>P3</t>
  </si>
  <si>
    <t>P4</t>
  </si>
  <si>
    <t>P5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</si>
  <si>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</si>
  <si>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</si>
  <si>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</si>
  <si>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</si>
  <si>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</si>
  <si>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</si>
  <si>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</si>
  <si>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</si>
  <si>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</si>
  <si>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</si>
  <si>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</si>
  <si>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</si>
  <si>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</si>
  <si>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</si>
  <si>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</si>
  <si>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</si>
  <si>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</si>
  <si>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</si>
  <si>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</si>
  <si>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</si>
  <si>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</si>
  <si>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</si>
  <si>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</si>
  <si>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</si>
  <si>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</si>
  <si>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</si>
  <si>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</si>
  <si>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</si>
  <si>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</si>
  <si>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</si>
  <si>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</si>
  <si>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</si>
  <si>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</si>
  <si>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</si>
  <si>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</si>
  <si>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</si>
  <si>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</si>
  <si>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</si>
  <si>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Кi</t>
  </si>
  <si>
    <t>Р2 = Аi / (Бi - Вi - Гi + Кi)</t>
  </si>
  <si>
    <t>≤0,5</t>
  </si>
  <si>
    <t>Р3 = Аi / (Бi - Вi)</t>
  </si>
  <si>
    <t>≤0,15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</si>
  <si>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</si>
  <si>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</si>
  <si>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</si>
  <si>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</si>
  <si>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</si>
  <si>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</si>
  <si>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</si>
  <si>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</si>
  <si>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</si>
  <si>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</si>
  <si>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</si>
  <si>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</si>
  <si>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</si>
  <si>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</si>
  <si>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</si>
  <si>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</si>
  <si>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</si>
  <si>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</si>
  <si>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</si>
  <si>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</si>
  <si>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</si>
  <si>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</si>
  <si>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</si>
  <si>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</si>
  <si>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</si>
  <si>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</si>
  <si>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</si>
  <si>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</si>
  <si>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</si>
  <si>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</si>
  <si>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</si>
  <si>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</si>
  <si>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</si>
  <si>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</si>
  <si>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</si>
  <si>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</si>
  <si>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</si>
  <si>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</si>
  <si>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</si>
  <si>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</si>
  <si>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</si>
  <si>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</si>
  <si>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</si>
  <si>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</si>
  <si>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</si>
  <si>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</si>
  <si>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</si>
  <si>
    <t>ГО</t>
  </si>
  <si>
    <t>МР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</si>
</sst>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"/>
    <numFmt numFmtId="172" formatCode="0.0_ ;[Red]\-0.0\ "/>
    <numFmt numFmtId="173" formatCode="#,##0.000_ ;[Red]\-#,##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b/>
      <sz val="10"/>
      <name val="Arial Cyr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29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59" applyFont="1" applyAlignment="1">
      <alignment horizontal="center" wrapText="1"/>
    </xf>
    <xf numFmtId="164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43" fontId="19" fillId="0" borderId="10" xfId="59" applyFont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/>
    </xf>
    <xf numFmtId="0" fontId="21" fillId="35" borderId="12" xfId="0" applyFont="1" applyFill="1" applyBorder="1" applyAlignment="1">
      <alignment horizontal="center" vertical="center"/>
    </xf>
    <xf numFmtId="0" fontId="21" fillId="35" borderId="13" xfId="0" applyFont="1" applyFill="1" applyBorder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0" fillId="36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2" fillId="37" borderId="21" xfId="0" applyFont="1" applyFill="1" applyBorder="1" applyAlignment="1">
      <alignment horizontal="center"/>
    </xf>
    <xf numFmtId="0" fontId="22" fillId="37" borderId="22" xfId="0" applyFont="1" applyFill="1" applyBorder="1" applyAlignment="1">
      <alignment/>
    </xf>
    <xf numFmtId="0" fontId="22" fillId="37" borderId="19" xfId="0" applyFont="1" applyFill="1" applyBorder="1" applyAlignment="1">
      <alignment/>
    </xf>
    <xf numFmtId="0" fontId="22" fillId="37" borderId="23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2" fillId="37" borderId="20" xfId="0" applyFont="1" applyFill="1" applyBorder="1" applyAlignment="1">
      <alignment/>
    </xf>
    <xf numFmtId="0" fontId="0" fillId="36" borderId="25" xfId="0" applyFill="1" applyBorder="1" applyAlignment="1">
      <alignment/>
    </xf>
    <xf numFmtId="0" fontId="18" fillId="38" borderId="26" xfId="0" applyFont="1" applyFill="1" applyBorder="1" applyAlignment="1">
      <alignment horizontal="center" vertical="center" wrapText="1"/>
    </xf>
    <xf numFmtId="0" fontId="22" fillId="39" borderId="26" xfId="0" applyFont="1" applyFill="1" applyBorder="1" applyAlignment="1">
      <alignment horizontal="center" vertical="center" wrapText="1"/>
    </xf>
    <xf numFmtId="0" fontId="22" fillId="39" borderId="27" xfId="0" applyFont="1" applyFill="1" applyBorder="1" applyAlignment="1">
      <alignment horizontal="center" vertical="center" wrapText="1"/>
    </xf>
    <xf numFmtId="0" fontId="25" fillId="38" borderId="26" xfId="0" applyFont="1" applyFill="1" applyBorder="1" applyAlignment="1">
      <alignment horizontal="center" vertical="center" wrapText="1"/>
    </xf>
    <xf numFmtId="0" fontId="18" fillId="38" borderId="28" xfId="0" applyFont="1" applyFill="1" applyBorder="1" applyAlignment="1">
      <alignment horizontal="center" vertical="center" wrapText="1"/>
    </xf>
    <xf numFmtId="0" fontId="22" fillId="39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8" borderId="31" xfId="0" applyFont="1" applyFill="1" applyBorder="1" applyAlignment="1">
      <alignment horizontal="center" vertical="center" wrapText="1"/>
    </xf>
    <xf numFmtId="0" fontId="22" fillId="38" borderId="32" xfId="0" applyFont="1" applyFill="1" applyBorder="1" applyAlignment="1">
      <alignment horizontal="center" vertical="center" wrapText="1"/>
    </xf>
    <xf numFmtId="0" fontId="22" fillId="40" borderId="31" xfId="0" applyFont="1" applyFill="1" applyBorder="1" applyAlignment="1">
      <alignment horizontal="center" vertical="center" wrapText="1"/>
    </xf>
    <xf numFmtId="0" fontId="22" fillId="38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9" xfId="0" applyBorder="1" applyAlignment="1">
      <alignment/>
    </xf>
    <xf numFmtId="0" fontId="27" fillId="41" borderId="36" xfId="0" applyFont="1" applyFill="1" applyBorder="1" applyAlignment="1">
      <alignment horizontal="center"/>
    </xf>
    <xf numFmtId="0" fontId="27" fillId="41" borderId="31" xfId="0" applyFont="1" applyFill="1" applyBorder="1" applyAlignment="1">
      <alignment horizontal="center"/>
    </xf>
    <xf numFmtId="0" fontId="27" fillId="41" borderId="32" xfId="0" applyFont="1" applyFill="1" applyBorder="1" applyAlignment="1">
      <alignment horizontal="center"/>
    </xf>
    <xf numFmtId="0" fontId="27" fillId="41" borderId="37" xfId="0" applyFont="1" applyFill="1" applyBorder="1" applyAlignment="1">
      <alignment horizontal="center"/>
    </xf>
    <xf numFmtId="0" fontId="27" fillId="41" borderId="38" xfId="0" applyFont="1" applyFill="1" applyBorder="1" applyAlignment="1">
      <alignment horizontal="center"/>
    </xf>
    <xf numFmtId="0" fontId="22" fillId="41" borderId="31" xfId="0" applyFont="1" applyFill="1" applyBorder="1" applyAlignment="1">
      <alignment horizontal="center"/>
    </xf>
    <xf numFmtId="0" fontId="27" fillId="41" borderId="33" xfId="0" applyFont="1" applyFill="1" applyBorder="1" applyAlignment="1">
      <alignment horizontal="center"/>
    </xf>
    <xf numFmtId="17" fontId="0" fillId="33" borderId="0" xfId="0" applyNumberFormat="1" applyFill="1" applyAlignment="1">
      <alignment/>
    </xf>
    <xf numFmtId="0" fontId="18" fillId="0" borderId="39" xfId="0" applyFont="1" applyBorder="1" applyAlignment="1">
      <alignment/>
    </xf>
    <xf numFmtId="165" fontId="18" fillId="0" borderId="40" xfId="59" applyNumberFormat="1" applyFont="1" applyFill="1" applyBorder="1" applyAlignment="1">
      <alignment/>
    </xf>
    <xf numFmtId="164" fontId="22" fillId="0" borderId="40" xfId="59" applyNumberFormat="1" applyFont="1" applyBorder="1" applyAlignment="1">
      <alignment/>
    </xf>
    <xf numFmtId="166" fontId="18" fillId="0" borderId="41" xfId="59" applyNumberFormat="1" applyFont="1" applyBorder="1" applyAlignment="1">
      <alignment/>
    </xf>
    <xf numFmtId="166" fontId="18" fillId="0" borderId="21" xfId="59" applyNumberFormat="1" applyFont="1" applyBorder="1" applyAlignment="1">
      <alignment/>
    </xf>
    <xf numFmtId="167" fontId="22" fillId="0" borderId="42" xfId="59" applyNumberFormat="1" applyFont="1" applyBorder="1" applyAlignment="1">
      <alignment/>
    </xf>
    <xf numFmtId="165" fontId="18" fillId="33" borderId="40" xfId="59" applyNumberFormat="1" applyFont="1" applyFill="1" applyBorder="1" applyAlignment="1">
      <alignment/>
    </xf>
    <xf numFmtId="164" fontId="18" fillId="0" borderId="40" xfId="59" applyNumberFormat="1" applyFont="1" applyFill="1" applyBorder="1" applyAlignment="1">
      <alignment/>
    </xf>
    <xf numFmtId="168" fontId="18" fillId="0" borderId="41" xfId="59" applyNumberFormat="1" applyFont="1" applyFill="1" applyBorder="1" applyAlignment="1">
      <alignment/>
    </xf>
    <xf numFmtId="164" fontId="22" fillId="0" borderId="40" xfId="59" applyNumberFormat="1" applyFont="1" applyFill="1" applyBorder="1" applyAlignment="1">
      <alignment/>
    </xf>
    <xf numFmtId="165" fontId="18" fillId="0" borderId="43" xfId="59" applyNumberFormat="1" applyFont="1" applyFill="1" applyBorder="1" applyAlignment="1">
      <alignment/>
    </xf>
    <xf numFmtId="169" fontId="18" fillId="0" borderId="21" xfId="59" applyNumberFormat="1" applyFont="1" applyFill="1" applyBorder="1" applyAlignment="1">
      <alignment/>
    </xf>
    <xf numFmtId="165" fontId="18" fillId="0" borderId="21" xfId="59" applyNumberFormat="1" applyFont="1" applyFill="1" applyBorder="1" applyAlignment="1">
      <alignment/>
    </xf>
    <xf numFmtId="165" fontId="18" fillId="0" borderId="21" xfId="59" applyNumberFormat="1" applyFont="1" applyBorder="1" applyAlignment="1">
      <alignment/>
    </xf>
    <xf numFmtId="170" fontId="22" fillId="0" borderId="21" xfId="59" applyNumberFormat="1" applyFont="1" applyBorder="1" applyAlignment="1">
      <alignment/>
    </xf>
    <xf numFmtId="167" fontId="18" fillId="0" borderId="41" xfId="59" applyNumberFormat="1" applyFont="1" applyFill="1" applyBorder="1" applyAlignment="1">
      <alignment/>
    </xf>
    <xf numFmtId="166" fontId="18" fillId="0" borderId="21" xfId="59" applyNumberFormat="1" applyFont="1" applyFill="1" applyBorder="1" applyAlignment="1">
      <alignment/>
    </xf>
    <xf numFmtId="167" fontId="22" fillId="0" borderId="42" xfId="59" applyNumberFormat="1" applyFont="1" applyFill="1" applyBorder="1" applyAlignment="1">
      <alignment/>
    </xf>
    <xf numFmtId="166" fontId="18" fillId="0" borderId="44" xfId="59" applyNumberFormat="1" applyFont="1" applyFill="1" applyBorder="1" applyAlignment="1">
      <alignment/>
    </xf>
    <xf numFmtId="171" fontId="22" fillId="0" borderId="21" xfId="59" applyNumberFormat="1" applyFont="1" applyBorder="1" applyAlignment="1">
      <alignment/>
    </xf>
    <xf numFmtId="167" fontId="18" fillId="0" borderId="41" xfId="59" applyNumberFormat="1" applyFont="1" applyBorder="1" applyAlignment="1">
      <alignment/>
    </xf>
    <xf numFmtId="172" fontId="22" fillId="0" borderId="21" xfId="59" applyNumberFormat="1" applyFont="1" applyBorder="1" applyAlignment="1">
      <alignment/>
    </xf>
    <xf numFmtId="167" fontId="22" fillId="0" borderId="45" xfId="59" applyNumberFormat="1" applyFont="1" applyBorder="1" applyAlignment="1">
      <alignment/>
    </xf>
    <xf numFmtId="0" fontId="18" fillId="42" borderId="46" xfId="0" applyFont="1" applyFill="1" applyBorder="1" applyAlignment="1">
      <alignment/>
    </xf>
    <xf numFmtId="165" fontId="18" fillId="42" borderId="40" xfId="59" applyNumberFormat="1" applyFont="1" applyFill="1" applyBorder="1" applyAlignment="1">
      <alignment/>
    </xf>
    <xf numFmtId="164" fontId="22" fillId="42" borderId="40" xfId="59" applyNumberFormat="1" applyFont="1" applyFill="1" applyBorder="1" applyAlignment="1">
      <alignment/>
    </xf>
    <xf numFmtId="166" fontId="18" fillId="42" borderId="41" xfId="59" applyNumberFormat="1" applyFont="1" applyFill="1" applyBorder="1" applyAlignment="1">
      <alignment/>
    </xf>
    <xf numFmtId="166" fontId="18" fillId="42" borderId="21" xfId="59" applyNumberFormat="1" applyFont="1" applyFill="1" applyBorder="1" applyAlignment="1">
      <alignment/>
    </xf>
    <xf numFmtId="167" fontId="22" fillId="42" borderId="42" xfId="59" applyNumberFormat="1" applyFont="1" applyFill="1" applyBorder="1" applyAlignment="1">
      <alignment/>
    </xf>
    <xf numFmtId="164" fontId="18" fillId="42" borderId="40" xfId="59" applyNumberFormat="1" applyFont="1" applyFill="1" applyBorder="1" applyAlignment="1">
      <alignment/>
    </xf>
    <xf numFmtId="168" fontId="18" fillId="42" borderId="41" xfId="59" applyNumberFormat="1" applyFont="1" applyFill="1" applyBorder="1" applyAlignment="1">
      <alignment/>
    </xf>
    <xf numFmtId="173" fontId="22" fillId="42" borderId="40" xfId="59" applyNumberFormat="1" applyFont="1" applyFill="1" applyBorder="1" applyAlignment="1">
      <alignment/>
    </xf>
    <xf numFmtId="165" fontId="18" fillId="42" borderId="44" xfId="59" applyNumberFormat="1" applyFont="1" applyFill="1" applyBorder="1" applyAlignment="1">
      <alignment/>
    </xf>
    <xf numFmtId="165" fontId="18" fillId="42" borderId="21" xfId="59" applyNumberFormat="1" applyFont="1" applyFill="1" applyBorder="1" applyAlignment="1">
      <alignment/>
    </xf>
    <xf numFmtId="170" fontId="22" fillId="42" borderId="21" xfId="59" applyNumberFormat="1" applyFont="1" applyFill="1" applyBorder="1" applyAlignment="1">
      <alignment/>
    </xf>
    <xf numFmtId="167" fontId="18" fillId="42" borderId="41" xfId="59" applyNumberFormat="1" applyFont="1" applyFill="1" applyBorder="1" applyAlignment="1">
      <alignment/>
    </xf>
    <xf numFmtId="167" fontId="18" fillId="42" borderId="21" xfId="59" applyNumberFormat="1" applyFont="1" applyFill="1" applyBorder="1" applyAlignment="1">
      <alignment/>
    </xf>
    <xf numFmtId="166" fontId="18" fillId="42" borderId="44" xfId="59" applyNumberFormat="1" applyFont="1" applyFill="1" applyBorder="1" applyAlignment="1">
      <alignment/>
    </xf>
    <xf numFmtId="171" fontId="22" fillId="42" borderId="21" xfId="59" applyNumberFormat="1" applyFont="1" applyFill="1" applyBorder="1" applyAlignment="1">
      <alignment/>
    </xf>
    <xf numFmtId="172" fontId="22" fillId="42" borderId="21" xfId="59" applyNumberFormat="1" applyFont="1" applyFill="1" applyBorder="1" applyAlignment="1">
      <alignment/>
    </xf>
    <xf numFmtId="167" fontId="22" fillId="42" borderId="45" xfId="59" applyNumberFormat="1" applyFont="1" applyFill="1" applyBorder="1" applyAlignment="1">
      <alignment/>
    </xf>
    <xf numFmtId="0" fontId="0" fillId="43" borderId="0" xfId="0" applyFill="1" applyAlignment="1">
      <alignment/>
    </xf>
    <xf numFmtId="0" fontId="18" fillId="0" borderId="46" xfId="0" applyFont="1" applyBorder="1" applyAlignment="1">
      <alignment/>
    </xf>
    <xf numFmtId="166" fontId="18" fillId="0" borderId="41" xfId="59" applyNumberFormat="1" applyFont="1" applyFill="1" applyBorder="1" applyAlignment="1">
      <alignment/>
    </xf>
    <xf numFmtId="165" fontId="18" fillId="0" borderId="44" xfId="59" applyNumberFormat="1" applyFont="1" applyFill="1" applyBorder="1" applyAlignment="1">
      <alignment/>
    </xf>
    <xf numFmtId="167" fontId="22" fillId="0" borderId="45" xfId="59" applyNumberFormat="1" applyFont="1" applyFill="1" applyBorder="1" applyAlignment="1">
      <alignment/>
    </xf>
    <xf numFmtId="171" fontId="22" fillId="0" borderId="21" xfId="59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70" fontId="22" fillId="0" borderId="21" xfId="59" applyNumberFormat="1" applyFont="1" applyFill="1" applyBorder="1" applyAlignment="1">
      <alignment/>
    </xf>
    <xf numFmtId="167" fontId="18" fillId="0" borderId="21" xfId="59" applyNumberFormat="1" applyFont="1" applyFill="1" applyBorder="1" applyAlignment="1">
      <alignment/>
    </xf>
    <xf numFmtId="172" fontId="22" fillId="0" borderId="21" xfId="59" applyNumberFormat="1" applyFont="1" applyFill="1" applyBorder="1" applyAlignment="1">
      <alignment/>
    </xf>
    <xf numFmtId="0" fontId="18" fillId="0" borderId="47" xfId="0" applyFont="1" applyFill="1" applyBorder="1" applyAlignment="1">
      <alignment/>
    </xf>
    <xf numFmtId="165" fontId="18" fillId="0" borderId="40" xfId="59" applyNumberFormat="1" applyFont="1" applyBorder="1" applyAlignment="1">
      <alignment/>
    </xf>
    <xf numFmtId="164" fontId="18" fillId="0" borderId="40" xfId="59" applyNumberFormat="1" applyFont="1" applyBorder="1" applyAlignment="1">
      <alignment/>
    </xf>
    <xf numFmtId="165" fontId="18" fillId="0" borderId="44" xfId="59" applyNumberFormat="1" applyFont="1" applyBorder="1" applyAlignment="1">
      <alignment/>
    </xf>
    <xf numFmtId="166" fontId="18" fillId="0" borderId="44" xfId="59" applyNumberFormat="1" applyFont="1" applyBorder="1" applyAlignment="1">
      <alignment/>
    </xf>
    <xf numFmtId="170" fontId="22" fillId="33" borderId="21" xfId="59" applyNumberFormat="1" applyFont="1" applyFill="1" applyBorder="1" applyAlignment="1">
      <alignment/>
    </xf>
    <xf numFmtId="167" fontId="22" fillId="33" borderId="45" xfId="59" applyNumberFormat="1" applyFont="1" applyFill="1" applyBorder="1" applyAlignment="1">
      <alignment/>
    </xf>
    <xf numFmtId="165" fontId="18" fillId="0" borderId="48" xfId="59" applyNumberFormat="1" applyFont="1" applyBorder="1" applyAlignment="1">
      <alignment/>
    </xf>
    <xf numFmtId="0" fontId="22" fillId="41" borderId="49" xfId="0" applyFont="1" applyFill="1" applyBorder="1" applyAlignment="1" applyProtection="1">
      <alignment/>
      <protection/>
    </xf>
    <xf numFmtId="166" fontId="22" fillId="41" borderId="50" xfId="59" applyNumberFormat="1" applyFont="1" applyFill="1" applyBorder="1" applyAlignment="1">
      <alignment horizontal="center"/>
    </xf>
    <xf numFmtId="166" fontId="22" fillId="41" borderId="51" xfId="59" applyNumberFormat="1" applyFont="1" applyFill="1" applyBorder="1" applyAlignment="1">
      <alignment horizontal="center"/>
    </xf>
    <xf numFmtId="166" fontId="22" fillId="41" borderId="52" xfId="59" applyNumberFormat="1" applyFont="1" applyFill="1" applyBorder="1" applyAlignment="1">
      <alignment horizontal="center"/>
    </xf>
    <xf numFmtId="167" fontId="22" fillId="41" borderId="53" xfId="59" applyNumberFormat="1" applyFont="1" applyFill="1" applyBorder="1" applyAlignment="1">
      <alignment horizontal="center"/>
    </xf>
    <xf numFmtId="166" fontId="22" fillId="41" borderId="54" xfId="59" applyNumberFormat="1" applyFont="1" applyFill="1" applyBorder="1" applyAlignment="1">
      <alignment horizontal="center"/>
    </xf>
    <xf numFmtId="166" fontId="22" fillId="41" borderId="53" xfId="59" applyNumberFormat="1" applyFont="1" applyFill="1" applyBorder="1" applyAlignment="1">
      <alignment horizontal="center"/>
    </xf>
    <xf numFmtId="166" fontId="22" fillId="41" borderId="55" xfId="59" applyNumberFormat="1" applyFont="1" applyFill="1" applyBorder="1" applyAlignment="1">
      <alignment horizontal="center"/>
    </xf>
    <xf numFmtId="0" fontId="0" fillId="13" borderId="0" xfId="0" applyFill="1" applyAlignment="1">
      <alignment/>
    </xf>
    <xf numFmtId="0" fontId="28" fillId="13" borderId="0" xfId="0" applyFont="1" applyFill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terbudget\&#1052;&#1086;&#1085;&#1103;%20&#1052;&#1054;%20&#1076;&#1083;&#1103;%20&#1086;&#1094;&#1077;&#1085;&#1082;&#1080;%20&#1082;&#1072;&#1095;&#1077;&#1089;&#1090;&#1074;&#1072;\2015\&#1084;&#1086;&#1085;&#1080;&#1090;&#1086;&#1088;&#1080;&#1085;&#1075;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годовой (2)"/>
      <sheetName val="за 1 кв."/>
      <sheetName val="за 2 кв."/>
      <sheetName val="за 3 кв."/>
      <sheetName val="за 4 кв. (2014 Р1 план)"/>
      <sheetName val="Дятьково на 1.05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Z45"/>
  <sheetViews>
    <sheetView tabSelected="1" zoomScale="75" zoomScaleNormal="75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1" sqref="F11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17.37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3.375" style="0" customWidth="1"/>
    <col min="14" max="14" width="26.00390625" style="0" customWidth="1"/>
    <col min="15" max="15" width="13.875" style="0" customWidth="1"/>
    <col min="16" max="16" width="20.375" style="0" customWidth="1"/>
    <col min="17" max="17" width="17.125" style="0" customWidth="1"/>
    <col min="18" max="18" width="19.625" style="0" customWidth="1"/>
    <col min="19" max="19" width="16.375" style="0" customWidth="1"/>
    <col min="20" max="20" width="17.625" style="0" customWidth="1"/>
    <col min="21" max="21" width="24.25390625" style="0" customWidth="1"/>
    <col min="22" max="22" width="13.75390625" style="0" customWidth="1"/>
    <col min="23" max="23" width="18.00390625" style="0" customWidth="1"/>
    <col min="24" max="24" width="17.375" style="0" customWidth="1"/>
    <col min="25" max="25" width="14.00390625" style="0" customWidth="1"/>
    <col min="26" max="26" width="15.00390625" style="0" customWidth="1"/>
    <col min="27" max="27" width="15.125" style="0" customWidth="1"/>
    <col min="28" max="28" width="20.375" style="0" customWidth="1"/>
    <col min="29" max="29" width="14.75390625" style="0" customWidth="1"/>
    <col min="30" max="30" width="15.00390625" style="0" customWidth="1"/>
    <col min="31" max="31" width="16.625" style="0" customWidth="1"/>
    <col min="32" max="33" width="15.25390625" style="0" hidden="1" customWidth="1"/>
    <col min="34" max="34" width="20.25390625" style="0" hidden="1" customWidth="1"/>
    <col min="35" max="35" width="37.875" style="0" customWidth="1"/>
    <col min="36" max="36" width="14.375" style="0" customWidth="1"/>
    <col min="37" max="37" width="18.375" style="0" customWidth="1"/>
    <col min="38" max="38" width="13.625" style="0" customWidth="1"/>
    <col min="39" max="39" width="27.25390625" style="0" customWidth="1"/>
    <col min="40" max="40" width="24.375" style="0" customWidth="1"/>
    <col min="41" max="41" width="40.37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13.875" style="0" customWidth="1"/>
    <col min="46" max="48" width="0" style="10" hidden="1" customWidth="1"/>
    <col min="49" max="51" width="12.25390625" style="10" hidden="1" customWidth="1"/>
    <col min="52" max="52" width="11.00390625" style="10" hidden="1" customWidth="1"/>
    <col min="53" max="16384" width="9.125" style="10" customWidth="1"/>
  </cols>
  <sheetData>
    <row r="1" spans="1:45" s="8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1"/>
      <c r="J1" s="1"/>
      <c r="K1" s="1"/>
      <c r="L1" s="3"/>
      <c r="M1" s="3"/>
      <c r="N1" s="3"/>
      <c r="O1" s="1"/>
      <c r="P1" s="1"/>
      <c r="Q1" s="1"/>
      <c r="R1" s="4" t="s">
        <v>1</v>
      </c>
      <c r="S1" s="5"/>
      <c r="T1" s="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6"/>
      <c r="AN1" s="6"/>
      <c r="AO1" s="7"/>
      <c r="AP1" s="7"/>
      <c r="AQ1" s="6"/>
      <c r="AR1" s="1"/>
      <c r="AS1" s="1"/>
    </row>
    <row r="2" spans="2:20" ht="12.75" customHeight="1" hidden="1">
      <c r="B2" s="2"/>
      <c r="C2" s="2"/>
      <c r="D2" s="2"/>
      <c r="E2" s="2"/>
      <c r="F2" s="2"/>
      <c r="G2" s="2"/>
      <c r="H2" s="2"/>
      <c r="L2" s="3"/>
      <c r="M2" s="3"/>
      <c r="R2" s="9"/>
      <c r="S2" s="9"/>
      <c r="T2" s="9"/>
    </row>
    <row r="3" spans="2:45" ht="13.5" thickBot="1">
      <c r="B3" s="11"/>
      <c r="C3" s="11"/>
      <c r="D3" s="11"/>
      <c r="E3" s="11"/>
      <c r="F3" s="11"/>
      <c r="G3" s="11"/>
      <c r="H3" s="11"/>
      <c r="J3" s="9"/>
      <c r="K3" s="9"/>
      <c r="L3" s="3"/>
      <c r="M3" s="3"/>
      <c r="R3" s="9"/>
      <c r="S3" s="9"/>
      <c r="T3" s="9"/>
      <c r="AM3" s="9"/>
      <c r="AN3" s="9"/>
      <c r="AO3" s="9"/>
      <c r="AP3" s="9"/>
      <c r="AQ3" s="9"/>
      <c r="AR3" s="9"/>
      <c r="AS3" s="9"/>
    </row>
    <row r="4" spans="1:45" ht="2.25" customHeight="1" thickTop="1">
      <c r="A4" s="12" t="s">
        <v>2</v>
      </c>
      <c r="B4" s="13"/>
      <c r="C4" s="14"/>
      <c r="D4" s="14"/>
      <c r="E4" s="14"/>
      <c r="F4" s="14"/>
      <c r="G4" s="14"/>
      <c r="H4" s="15"/>
      <c r="I4" s="16"/>
      <c r="J4" s="14"/>
      <c r="K4" s="14"/>
      <c r="L4" s="14"/>
      <c r="M4" s="14"/>
      <c r="N4" s="14"/>
      <c r="O4" s="14"/>
      <c r="P4" s="14"/>
      <c r="Q4" s="15"/>
      <c r="R4" s="16"/>
      <c r="S4" s="14"/>
      <c r="T4" s="14"/>
      <c r="U4" s="14"/>
      <c r="V4" s="14"/>
      <c r="W4" s="14"/>
      <c r="X4" s="15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7"/>
      <c r="AM4" s="16"/>
      <c r="AN4" s="14"/>
      <c r="AO4" s="14"/>
      <c r="AP4" s="14"/>
      <c r="AQ4" s="14"/>
      <c r="AR4" s="17"/>
      <c r="AS4" s="18"/>
    </row>
    <row r="5" spans="1:45" ht="13.5" thickBot="1">
      <c r="A5" s="19"/>
      <c r="B5" s="20"/>
      <c r="C5" s="21"/>
      <c r="D5" s="22"/>
      <c r="E5" s="23" t="s">
        <v>3</v>
      </c>
      <c r="F5" s="24"/>
      <c r="G5" s="25"/>
      <c r="H5" s="26"/>
      <c r="I5" s="27"/>
      <c r="J5" s="21"/>
      <c r="K5" s="22"/>
      <c r="L5" s="28"/>
      <c r="M5" s="28"/>
      <c r="N5" s="23" t="s">
        <v>4</v>
      </c>
      <c r="O5" s="24"/>
      <c r="P5" s="25"/>
      <c r="Q5" s="26"/>
      <c r="R5" s="27"/>
      <c r="S5" s="21"/>
      <c r="T5" s="22"/>
      <c r="U5" s="23" t="s">
        <v>5</v>
      </c>
      <c r="V5" s="24"/>
      <c r="W5" s="25"/>
      <c r="X5" s="26"/>
      <c r="Y5" s="27"/>
      <c r="Z5" s="21"/>
      <c r="AA5" s="22"/>
      <c r="AB5" s="28"/>
      <c r="AC5" s="28"/>
      <c r="AD5" s="28"/>
      <c r="AE5" s="28"/>
      <c r="AF5" s="28"/>
      <c r="AG5" s="28"/>
      <c r="AH5" s="28"/>
      <c r="AI5" s="23" t="s">
        <v>6</v>
      </c>
      <c r="AJ5" s="24"/>
      <c r="AK5" s="25"/>
      <c r="AL5" s="29"/>
      <c r="AM5" s="27"/>
      <c r="AN5" s="22"/>
      <c r="AO5" s="23" t="s">
        <v>7</v>
      </c>
      <c r="AP5" s="24"/>
      <c r="AQ5" s="25"/>
      <c r="AR5" s="29"/>
      <c r="AS5" s="30"/>
    </row>
    <row r="6" spans="1:45" ht="159.75" customHeight="1" thickBot="1">
      <c r="A6" s="19"/>
      <c r="B6" s="31" t="s">
        <v>8</v>
      </c>
      <c r="C6" s="31" t="s">
        <v>9</v>
      </c>
      <c r="D6" s="31" t="s">
        <v>10</v>
      </c>
      <c r="E6" s="31" t="s">
        <v>11</v>
      </c>
      <c r="F6" s="32" t="s">
        <v>12</v>
      </c>
      <c r="G6" s="32" t="s">
        <v>13</v>
      </c>
      <c r="H6" s="33" t="s">
        <v>14</v>
      </c>
      <c r="I6" s="31" t="s">
        <v>15</v>
      </c>
      <c r="J6" s="31" t="s">
        <v>16</v>
      </c>
      <c r="K6" s="31" t="s">
        <v>17</v>
      </c>
      <c r="L6" s="31" t="s">
        <v>18</v>
      </c>
      <c r="M6" s="31" t="s">
        <v>19</v>
      </c>
      <c r="N6" s="31" t="s">
        <v>20</v>
      </c>
      <c r="O6" s="32" t="s">
        <v>12</v>
      </c>
      <c r="P6" s="32" t="s">
        <v>13</v>
      </c>
      <c r="Q6" s="33" t="s">
        <v>14</v>
      </c>
      <c r="R6" s="31" t="s">
        <v>21</v>
      </c>
      <c r="S6" s="31" t="s">
        <v>22</v>
      </c>
      <c r="T6" s="31" t="s">
        <v>23</v>
      </c>
      <c r="U6" s="31" t="s">
        <v>24</v>
      </c>
      <c r="V6" s="32" t="s">
        <v>12</v>
      </c>
      <c r="W6" s="32" t="s">
        <v>13</v>
      </c>
      <c r="X6" s="33" t="s">
        <v>14</v>
      </c>
      <c r="Y6" s="31" t="s">
        <v>25</v>
      </c>
      <c r="Z6" s="31" t="s">
        <v>26</v>
      </c>
      <c r="AA6" s="31" t="s">
        <v>27</v>
      </c>
      <c r="AB6" s="31" t="s">
        <v>28</v>
      </c>
      <c r="AC6" s="31" t="s">
        <v>29</v>
      </c>
      <c r="AD6" s="31" t="s">
        <v>30</v>
      </c>
      <c r="AE6" s="31" t="s">
        <v>31</v>
      </c>
      <c r="AF6" s="34" t="s">
        <v>32</v>
      </c>
      <c r="AG6" s="34" t="s">
        <v>33</v>
      </c>
      <c r="AH6" s="34" t="s">
        <v>34</v>
      </c>
      <c r="AI6" s="31" t="s">
        <v>35</v>
      </c>
      <c r="AJ6" s="32" t="s">
        <v>12</v>
      </c>
      <c r="AK6" s="32" t="s">
        <v>13</v>
      </c>
      <c r="AL6" s="32" t="s">
        <v>14</v>
      </c>
      <c r="AM6" s="35" t="s">
        <v>36</v>
      </c>
      <c r="AN6" s="31" t="s">
        <v>37</v>
      </c>
      <c r="AO6" s="31" t="s">
        <v>38</v>
      </c>
      <c r="AP6" s="32" t="s">
        <v>12</v>
      </c>
      <c r="AQ6" s="32" t="s">
        <v>13</v>
      </c>
      <c r="AR6" s="32" t="s">
        <v>14</v>
      </c>
      <c r="AS6" s="36" t="s">
        <v>39</v>
      </c>
    </row>
    <row r="7" spans="1:45" ht="39.75" thickBot="1" thickTop="1">
      <c r="A7" s="37"/>
      <c r="B7" s="38" t="s">
        <v>40</v>
      </c>
      <c r="C7" s="38" t="s">
        <v>41</v>
      </c>
      <c r="D7" s="38" t="s">
        <v>42</v>
      </c>
      <c r="E7" s="38" t="s">
        <v>43</v>
      </c>
      <c r="F7" s="38" t="s">
        <v>44</v>
      </c>
      <c r="G7" s="38" t="s">
        <v>44</v>
      </c>
      <c r="H7" s="39">
        <v>1</v>
      </c>
      <c r="I7" s="38" t="s">
        <v>40</v>
      </c>
      <c r="J7" s="38" t="s">
        <v>41</v>
      </c>
      <c r="K7" s="38" t="s">
        <v>42</v>
      </c>
      <c r="L7" s="38" t="s">
        <v>45</v>
      </c>
      <c r="M7" s="38" t="s">
        <v>46</v>
      </c>
      <c r="N7" s="38" t="s">
        <v>47</v>
      </c>
      <c r="O7" s="38" t="s">
        <v>44</v>
      </c>
      <c r="P7" s="38" t="s">
        <v>48</v>
      </c>
      <c r="Q7" s="39">
        <v>1</v>
      </c>
      <c r="R7" s="38" t="s">
        <v>40</v>
      </c>
      <c r="S7" s="38" t="s">
        <v>41</v>
      </c>
      <c r="T7" s="38" t="s">
        <v>42</v>
      </c>
      <c r="U7" s="38" t="s">
        <v>49</v>
      </c>
      <c r="V7" s="38" t="s">
        <v>50</v>
      </c>
      <c r="W7" s="38" t="s">
        <v>50</v>
      </c>
      <c r="X7" s="39">
        <v>1</v>
      </c>
      <c r="Y7" s="38" t="s">
        <v>40</v>
      </c>
      <c r="Z7" s="38" t="s">
        <v>41</v>
      </c>
      <c r="AA7" s="38" t="s">
        <v>42</v>
      </c>
      <c r="AB7" s="38" t="s">
        <v>46</v>
      </c>
      <c r="AC7" s="38" t="s">
        <v>45</v>
      </c>
      <c r="AD7" s="38" t="s">
        <v>51</v>
      </c>
      <c r="AE7" s="38" t="s">
        <v>52</v>
      </c>
      <c r="AF7" s="40"/>
      <c r="AG7" s="40"/>
      <c r="AH7" s="40"/>
      <c r="AI7" s="38" t="s">
        <v>53</v>
      </c>
      <c r="AJ7" s="38" t="s">
        <v>54</v>
      </c>
      <c r="AK7" s="38" t="s">
        <v>55</v>
      </c>
      <c r="AL7" s="38">
        <v>1.5</v>
      </c>
      <c r="AM7" s="38" t="s">
        <v>40</v>
      </c>
      <c r="AN7" s="38" t="s">
        <v>41</v>
      </c>
      <c r="AO7" s="38" t="s">
        <v>56</v>
      </c>
      <c r="AP7" s="38" t="s">
        <v>44</v>
      </c>
      <c r="AQ7" s="38" t="s">
        <v>44</v>
      </c>
      <c r="AR7" s="38">
        <v>1.5</v>
      </c>
      <c r="AS7" s="41"/>
    </row>
    <row r="8" spans="1:45" ht="15" thickBot="1" thickTop="1">
      <c r="A8" s="42"/>
      <c r="B8" s="43"/>
      <c r="C8" s="44" t="s">
        <v>57</v>
      </c>
      <c r="D8" s="44"/>
      <c r="E8" s="44"/>
      <c r="F8" s="44"/>
      <c r="G8" s="44"/>
      <c r="H8" s="45"/>
      <c r="I8" s="46"/>
      <c r="J8" s="44"/>
      <c r="K8" s="44"/>
      <c r="L8" s="44"/>
      <c r="M8" s="44"/>
      <c r="N8" s="44"/>
      <c r="O8" s="44"/>
      <c r="P8" s="44"/>
      <c r="Q8" s="45"/>
      <c r="R8" s="46"/>
      <c r="S8" s="44"/>
      <c r="T8" s="44"/>
      <c r="U8" s="44"/>
      <c r="V8" s="44"/>
      <c r="W8" s="44"/>
      <c r="X8" s="45"/>
      <c r="Y8" s="47" t="s">
        <v>57</v>
      </c>
      <c r="Z8" s="44"/>
      <c r="AA8" s="44"/>
      <c r="AB8" s="44"/>
      <c r="AC8" s="47"/>
      <c r="AD8" s="44"/>
      <c r="AE8" s="44"/>
      <c r="AF8" s="44"/>
      <c r="AG8" s="44"/>
      <c r="AH8" s="44"/>
      <c r="AI8" s="44"/>
      <c r="AJ8" s="44"/>
      <c r="AK8" s="44"/>
      <c r="AL8" s="44"/>
      <c r="AM8" s="46"/>
      <c r="AN8" s="44"/>
      <c r="AO8" s="44"/>
      <c r="AP8" s="44"/>
      <c r="AQ8" s="44"/>
      <c r="AR8" s="44"/>
      <c r="AS8" s="48"/>
    </row>
    <row r="9" spans="1:52" ht="14.25" thickBot="1" thickTop="1">
      <c r="A9" s="49"/>
      <c r="B9" s="50"/>
      <c r="C9" s="50"/>
      <c r="D9" s="50"/>
      <c r="E9" s="50"/>
      <c r="F9" s="50"/>
      <c r="G9" s="50"/>
      <c r="H9" s="51"/>
      <c r="I9" s="52"/>
      <c r="J9" s="50"/>
      <c r="K9" s="50"/>
      <c r="L9" s="50"/>
      <c r="M9" s="50"/>
      <c r="N9" s="50"/>
      <c r="O9" s="50"/>
      <c r="P9" s="50"/>
      <c r="Q9" s="51"/>
      <c r="R9" s="52"/>
      <c r="S9" s="50"/>
      <c r="T9" s="50"/>
      <c r="U9" s="50"/>
      <c r="V9" s="50"/>
      <c r="W9" s="50"/>
      <c r="X9" s="51"/>
      <c r="Y9" s="53"/>
      <c r="Z9" s="50"/>
      <c r="AA9" s="50"/>
      <c r="AB9" s="50"/>
      <c r="AC9" s="50"/>
      <c r="AD9" s="50"/>
      <c r="AE9" s="50"/>
      <c r="AF9" s="50"/>
      <c r="AG9" s="50"/>
      <c r="AH9" s="50"/>
      <c r="AI9" s="54" t="s">
        <v>58</v>
      </c>
      <c r="AJ9" s="50"/>
      <c r="AK9" s="50"/>
      <c r="AL9" s="50"/>
      <c r="AM9" s="52"/>
      <c r="AN9" s="50"/>
      <c r="AO9" s="50"/>
      <c r="AP9" s="50"/>
      <c r="AQ9" s="50"/>
      <c r="AR9" s="50"/>
      <c r="AS9" s="55"/>
      <c r="AV9" s="10" t="s">
        <v>59</v>
      </c>
      <c r="AW9" s="56" t="s">
        <v>60</v>
      </c>
      <c r="AX9" s="10" t="s">
        <v>61</v>
      </c>
      <c r="AY9" s="10" t="s">
        <v>62</v>
      </c>
      <c r="AZ9" s="10" t="s">
        <v>63</v>
      </c>
    </row>
    <row r="10" spans="1:45" ht="13.5" thickTop="1">
      <c r="A10" s="57" t="s">
        <v>64</v>
      </c>
      <c r="B10" s="58">
        <v>1615651.08582</v>
      </c>
      <c r="C10" s="58">
        <v>280466.91229</v>
      </c>
      <c r="D10" s="58">
        <v>1524000</v>
      </c>
      <c r="E10" s="59">
        <f>IF(AND(B10=0,D10=0),0,B10/(IF(C10&gt;0,C10,0)+D10))</f>
        <v>0.8953619901900118</v>
      </c>
      <c r="F10" s="60">
        <f>IF(E10&lt;=1.05,1,0)</f>
        <v>1</v>
      </c>
      <c r="G10" s="61"/>
      <c r="H10" s="62">
        <f aca="true" t="shared" si="0" ref="H10:H42">F10+G10</f>
        <v>1</v>
      </c>
      <c r="I10" s="63">
        <v>2145278.2</v>
      </c>
      <c r="J10" s="64">
        <v>6024716.03713</v>
      </c>
      <c r="K10" s="65">
        <v>3129605.66013</v>
      </c>
      <c r="L10" s="63">
        <v>83161.537</v>
      </c>
      <c r="M10" s="63">
        <v>50000</v>
      </c>
      <c r="N10" s="66">
        <f>(I10-M10)/(J10-K10-L10)</f>
        <v>0.7451338268302208</v>
      </c>
      <c r="O10" s="60">
        <f aca="true" t="shared" si="1" ref="O10:O16">IF(N10&lt;=1,1,0)</f>
        <v>1</v>
      </c>
      <c r="P10" s="61"/>
      <c r="Q10" s="62">
        <f aca="true" t="shared" si="2" ref="Q10:Q42">O10+P10</f>
        <v>1</v>
      </c>
      <c r="R10" s="67">
        <v>102001.4</v>
      </c>
      <c r="S10" s="58">
        <v>6305182.94942</v>
      </c>
      <c r="T10" s="65">
        <v>2247763.7205</v>
      </c>
      <c r="U10" s="59">
        <f aca="true" t="shared" si="3" ref="U10:U42">R10/(S10-T10)</f>
        <v>0.02513947764454959</v>
      </c>
      <c r="V10" s="60">
        <f aca="true" t="shared" si="4" ref="V10:V16">IF(U10&lt;=0.15,1,0)</f>
        <v>1</v>
      </c>
      <c r="W10" s="61"/>
      <c r="X10" s="62">
        <f>V10+W10</f>
        <v>1</v>
      </c>
      <c r="Y10" s="58">
        <f>C10</f>
        <v>280466.91229</v>
      </c>
      <c r="Z10" s="68">
        <v>0</v>
      </c>
      <c r="AA10" s="69">
        <v>188815.82647</v>
      </c>
      <c r="AB10" s="70">
        <v>0</v>
      </c>
      <c r="AC10" s="70">
        <f aca="true" t="shared" si="5" ref="AC10:AE42">J10</f>
        <v>6024716.03713</v>
      </c>
      <c r="AD10" s="70">
        <f t="shared" si="5"/>
        <v>3129605.66013</v>
      </c>
      <c r="AE10" s="70">
        <f t="shared" si="5"/>
        <v>83161.537</v>
      </c>
      <c r="AF10" s="70">
        <f>AC10-AD10-AE10</f>
        <v>2811948.84</v>
      </c>
      <c r="AG10" s="70">
        <f aca="true" t="shared" si="6" ref="AG10:AG16">AF10*10%</f>
        <v>281194.884</v>
      </c>
      <c r="AH10" s="70">
        <f aca="true" t="shared" si="7" ref="AH10:AH15">IF(AA10&gt;0,AA10,0)+AG10+IF(AB10&gt;0,AB10,0)</f>
        <v>470010.71047000005</v>
      </c>
      <c r="AI10" s="71">
        <f>IF((Y10-IF(Z10&gt;0,Z10,0)-IF(AA10&gt;0,AA10,0)-IF(AB10&gt;0,AB10,0))/(AC10-AD10-AE10)&gt;0,(Y10-IF(Z10&gt;0,Z10,0)-IF(AA10&gt;0,AA10,0)-IF(AB10&gt;0,AB10,0))/(AC10-AD10-AE10),0)</f>
        <v>0.03259344000725135</v>
      </c>
      <c r="AJ10" s="72">
        <f aca="true" t="shared" si="8" ref="AJ10:AJ24">IF(AI10&lt;=0.105,1.5,0)</f>
        <v>1.5</v>
      </c>
      <c r="AK10" s="73"/>
      <c r="AL10" s="74">
        <f aca="true" t="shared" si="9" ref="AL10:AL42">AJ10+AK10</f>
        <v>1.5</v>
      </c>
      <c r="AM10" s="75">
        <v>222784.7</v>
      </c>
      <c r="AN10" s="73">
        <v>248847.3</v>
      </c>
      <c r="AO10" s="76">
        <f aca="true" t="shared" si="10" ref="AO10:AO42">AM10/AN10</f>
        <v>0.8952666956804435</v>
      </c>
      <c r="AP10" s="77">
        <f aca="true" t="shared" si="11" ref="AP10:AP16">IF(AO10&lt;=1.005,1.5,0)</f>
        <v>1.5</v>
      </c>
      <c r="AQ10" s="61"/>
      <c r="AR10" s="78">
        <f aca="true" t="shared" si="12" ref="AR10:AR42">AP10+AQ10</f>
        <v>1.5</v>
      </c>
      <c r="AS10" s="79">
        <f>H10+Q10+X10+AL10+AR10</f>
        <v>6</v>
      </c>
    </row>
    <row r="11" spans="1:46" ht="12.75">
      <c r="A11" s="80" t="s">
        <v>65</v>
      </c>
      <c r="B11" s="81">
        <v>27620</v>
      </c>
      <c r="C11" s="81">
        <v>-2453.6</v>
      </c>
      <c r="D11" s="81">
        <v>33650</v>
      </c>
      <c r="E11" s="82">
        <f aca="true" t="shared" si="13" ref="E11:E42">IF(AND(B11=0,D11=0),0,B11/(IF(C11&gt;0,C11,0)+D11))</f>
        <v>0.8208023774145616</v>
      </c>
      <c r="F11" s="83"/>
      <c r="G11" s="84">
        <f>IF(E11&lt;=1.05,1,0)</f>
        <v>1</v>
      </c>
      <c r="H11" s="85">
        <f t="shared" si="0"/>
        <v>1</v>
      </c>
      <c r="I11" s="81">
        <v>28000</v>
      </c>
      <c r="J11" s="86">
        <v>683240.2665</v>
      </c>
      <c r="K11" s="87">
        <v>490211.604</v>
      </c>
      <c r="L11" s="81">
        <v>131271.736</v>
      </c>
      <c r="M11" s="81">
        <v>11620</v>
      </c>
      <c r="N11" s="88">
        <f>(I11-M11)/(J11-K11-L11)</f>
        <v>0.2652334066527743</v>
      </c>
      <c r="O11" s="83"/>
      <c r="P11" s="84">
        <f>IF(N11&lt;=0.5,1,0)</f>
        <v>1</v>
      </c>
      <c r="Q11" s="85">
        <f t="shared" si="2"/>
        <v>1</v>
      </c>
      <c r="R11" s="89">
        <v>1659.3</v>
      </c>
      <c r="S11" s="81">
        <v>680786.6665</v>
      </c>
      <c r="T11" s="87">
        <v>378841.383</v>
      </c>
      <c r="U11" s="82">
        <f t="shared" si="3"/>
        <v>0.005495366513979675</v>
      </c>
      <c r="V11" s="83"/>
      <c r="W11" s="84">
        <f>IF(U11&lt;=0.15,1,0)</f>
        <v>1</v>
      </c>
      <c r="X11" s="85">
        <f aca="true" t="shared" si="14" ref="X11:X42">V11+W11</f>
        <v>1</v>
      </c>
      <c r="Y11" s="81">
        <f aca="true" t="shared" si="15" ref="Y11:Y42">C11</f>
        <v>-2453.6</v>
      </c>
      <c r="Z11" s="90">
        <v>0</v>
      </c>
      <c r="AA11" s="90">
        <v>3576.4</v>
      </c>
      <c r="AB11" s="90">
        <v>0</v>
      </c>
      <c r="AC11" s="90">
        <f t="shared" si="5"/>
        <v>683240.2665</v>
      </c>
      <c r="AD11" s="90">
        <f t="shared" si="5"/>
        <v>490211.604</v>
      </c>
      <c r="AE11" s="90">
        <f t="shared" si="5"/>
        <v>131271.736</v>
      </c>
      <c r="AF11" s="90">
        <f aca="true" t="shared" si="16" ref="AF11:AF42">AC11-AD11-AE11</f>
        <v>61756.92650000003</v>
      </c>
      <c r="AG11" s="90">
        <f>AF11*5%</f>
        <v>3087.846325000002</v>
      </c>
      <c r="AH11" s="90">
        <f t="shared" si="7"/>
        <v>6664.246325000002</v>
      </c>
      <c r="AI11" s="91">
        <f>IF((Y11-IF(Z11&gt;0,Z11,0)-IF(AA11&gt;0,AA11,0)-IF(AB11&gt;0,AB11,0))/(AC11-AD11-AE11)&gt;0,(Y11-IF(Z11&gt;0,Z11,0)-IF(AA11&gt;0,AA11,0)-IF(AB11&gt;0,AB11,0))/(AC11-AD11-AE11),0)</f>
        <v>0</v>
      </c>
      <c r="AJ11" s="92"/>
      <c r="AK11" s="93">
        <f>IF(AI11&lt;=0.055,1.5,0)</f>
        <v>1.5</v>
      </c>
      <c r="AL11" s="85">
        <f t="shared" si="9"/>
        <v>1.5</v>
      </c>
      <c r="AM11" s="94">
        <v>28501.7</v>
      </c>
      <c r="AN11" s="84">
        <v>30174.9</v>
      </c>
      <c r="AO11" s="95">
        <f t="shared" si="10"/>
        <v>0.9445499405134731</v>
      </c>
      <c r="AP11" s="92"/>
      <c r="AQ11" s="93">
        <f>IF(AO11&lt;=1.005,1.5,0)</f>
        <v>1.5</v>
      </c>
      <c r="AR11" s="96">
        <f t="shared" si="12"/>
        <v>1.5</v>
      </c>
      <c r="AS11" s="97">
        <f aca="true" t="shared" si="17" ref="AS11:AS42">H11+Q11+X11+AL11+AR11</f>
        <v>6</v>
      </c>
      <c r="AT11" s="98"/>
    </row>
    <row r="12" spans="1:45" ht="12.75">
      <c r="A12" s="99" t="s">
        <v>66</v>
      </c>
      <c r="B12" s="58">
        <v>80155</v>
      </c>
      <c r="C12" s="58">
        <v>58612.52786</v>
      </c>
      <c r="D12" s="58">
        <v>70390</v>
      </c>
      <c r="E12" s="59">
        <f t="shared" si="13"/>
        <v>0.6213444133977608</v>
      </c>
      <c r="F12" s="100">
        <f>IF(E12&lt;=1.05,1,0)</f>
        <v>1</v>
      </c>
      <c r="G12" s="61"/>
      <c r="H12" s="62">
        <f t="shared" si="0"/>
        <v>1</v>
      </c>
      <c r="I12" s="63">
        <v>61800</v>
      </c>
      <c r="J12" s="64">
        <v>831239.4953200001</v>
      </c>
      <c r="K12" s="65">
        <v>481423.70256999996</v>
      </c>
      <c r="L12" s="63">
        <v>130351.267</v>
      </c>
      <c r="M12" s="63">
        <v>7000</v>
      </c>
      <c r="N12" s="59">
        <f aca="true" t="shared" si="18" ref="N12:N41">(I12-M12)/(J12-K12-L12)</f>
        <v>0.2496986691253448</v>
      </c>
      <c r="O12" s="60">
        <f t="shared" si="1"/>
        <v>1</v>
      </c>
      <c r="P12" s="61"/>
      <c r="Q12" s="62">
        <f t="shared" si="2"/>
        <v>1</v>
      </c>
      <c r="R12" s="101">
        <v>2786.4</v>
      </c>
      <c r="S12" s="58">
        <v>889852.0231799999</v>
      </c>
      <c r="T12" s="65">
        <v>350323.386</v>
      </c>
      <c r="U12" s="59">
        <f t="shared" si="3"/>
        <v>0.005164508068679938</v>
      </c>
      <c r="V12" s="60">
        <f t="shared" si="4"/>
        <v>1</v>
      </c>
      <c r="W12" s="61"/>
      <c r="X12" s="62">
        <f t="shared" si="14"/>
        <v>1</v>
      </c>
      <c r="Y12" s="58">
        <f t="shared" si="15"/>
        <v>58612.52786</v>
      </c>
      <c r="Z12" s="69">
        <v>0</v>
      </c>
      <c r="AA12" s="69">
        <v>48847.52786</v>
      </c>
      <c r="AB12" s="70">
        <v>0</v>
      </c>
      <c r="AC12" s="70">
        <f t="shared" si="5"/>
        <v>831239.4953200001</v>
      </c>
      <c r="AD12" s="70">
        <f t="shared" si="5"/>
        <v>481423.70256999996</v>
      </c>
      <c r="AE12" s="70">
        <f t="shared" si="5"/>
        <v>130351.267</v>
      </c>
      <c r="AF12" s="70">
        <f t="shared" si="16"/>
        <v>219464.52575000015</v>
      </c>
      <c r="AG12" s="70">
        <f t="shared" si="6"/>
        <v>21946.452575000018</v>
      </c>
      <c r="AH12" s="70">
        <f t="shared" si="7"/>
        <v>70793.98043500002</v>
      </c>
      <c r="AI12" s="71">
        <f>IF((Y12-IF(Z12&gt;0,Z12,0)-IF(AA12&gt;0,AA12,0)-IF(AB12&gt;0,AB12,0))/(AC12-AD12-AE12)&gt;0,(Y12-IF(Z12&gt;0,Z12,0)-IF(AA12&gt;0,AA12,0)-IF(AB12&gt;0,AB12,0))/(AC12-AD12-AE12),0)</f>
        <v>0.044494662481915914</v>
      </c>
      <c r="AJ12" s="72">
        <f t="shared" si="8"/>
        <v>1.5</v>
      </c>
      <c r="AK12" s="61"/>
      <c r="AL12" s="62">
        <f t="shared" si="9"/>
        <v>1.5</v>
      </c>
      <c r="AM12" s="75">
        <v>31030.3</v>
      </c>
      <c r="AN12" s="73">
        <v>34386.6</v>
      </c>
      <c r="AO12" s="76">
        <f t="shared" si="10"/>
        <v>0.9023951190289241</v>
      </c>
      <c r="AP12" s="77">
        <f t="shared" si="11"/>
        <v>1.5</v>
      </c>
      <c r="AQ12" s="61"/>
      <c r="AR12" s="78">
        <f t="shared" si="12"/>
        <v>1.5</v>
      </c>
      <c r="AS12" s="102">
        <f t="shared" si="17"/>
        <v>6</v>
      </c>
    </row>
    <row r="13" spans="1:45" ht="12.75">
      <c r="A13" s="99" t="s">
        <v>67</v>
      </c>
      <c r="B13" s="58">
        <v>41700</v>
      </c>
      <c r="C13" s="58">
        <v>24370.75046</v>
      </c>
      <c r="D13" s="58">
        <v>37700</v>
      </c>
      <c r="E13" s="59">
        <f t="shared" si="13"/>
        <v>0.6718140137015511</v>
      </c>
      <c r="F13" s="60">
        <f>IF(E13&lt;=1.05,1,0)</f>
        <v>1</v>
      </c>
      <c r="G13" s="61"/>
      <c r="H13" s="62">
        <f t="shared" si="0"/>
        <v>1</v>
      </c>
      <c r="I13" s="63">
        <v>28700</v>
      </c>
      <c r="J13" s="64">
        <v>509771.15700999997</v>
      </c>
      <c r="K13" s="65">
        <v>252171.15701</v>
      </c>
      <c r="L13" s="63">
        <v>80137.073</v>
      </c>
      <c r="M13" s="63">
        <v>6700</v>
      </c>
      <c r="N13" s="59">
        <f t="shared" si="18"/>
        <v>0.12396955449743036</v>
      </c>
      <c r="O13" s="60">
        <f t="shared" si="1"/>
        <v>1</v>
      </c>
      <c r="P13" s="61"/>
      <c r="Q13" s="62">
        <f t="shared" si="2"/>
        <v>1</v>
      </c>
      <c r="R13" s="101">
        <v>1103.1</v>
      </c>
      <c r="S13" s="58">
        <v>534141.90747</v>
      </c>
      <c r="T13" s="65">
        <v>208207.863</v>
      </c>
      <c r="U13" s="59">
        <f t="shared" si="3"/>
        <v>0.003384427060369672</v>
      </c>
      <c r="V13" s="60">
        <f t="shared" si="4"/>
        <v>1</v>
      </c>
      <c r="W13" s="61"/>
      <c r="X13" s="62">
        <f t="shared" si="14"/>
        <v>1</v>
      </c>
      <c r="Y13" s="58">
        <f t="shared" si="15"/>
        <v>24370.75046</v>
      </c>
      <c r="Z13" s="69">
        <v>0</v>
      </c>
      <c r="AA13" s="69">
        <v>20370.75046</v>
      </c>
      <c r="AB13" s="70">
        <v>0</v>
      </c>
      <c r="AC13" s="70">
        <f t="shared" si="5"/>
        <v>509771.15700999997</v>
      </c>
      <c r="AD13" s="70">
        <f t="shared" si="5"/>
        <v>252171.15701</v>
      </c>
      <c r="AE13" s="70">
        <f t="shared" si="5"/>
        <v>80137.073</v>
      </c>
      <c r="AF13" s="70">
        <f t="shared" si="16"/>
        <v>177462.92699999997</v>
      </c>
      <c r="AG13" s="70">
        <f t="shared" si="6"/>
        <v>17746.292699999998</v>
      </c>
      <c r="AH13" s="70">
        <f t="shared" si="7"/>
        <v>38117.04316</v>
      </c>
      <c r="AI13" s="71">
        <f>IF((Y13-IF(Z13&gt;0,Z13,0)-IF(AA13&gt;0,AA13,0)-IF(AB13&gt;0,AB13,0))/(AC13-AD13-AE13)&gt;0,(Y13-IF(Z13&gt;0,Z13,0)-IF(AA13&gt;0,AA13,0)-IF(AB13&gt;0,AB13,0))/(AC13-AD13-AE13),0)</f>
        <v>0.022539918999532792</v>
      </c>
      <c r="AJ13" s="72">
        <f t="shared" si="8"/>
        <v>1.5</v>
      </c>
      <c r="AK13" s="61"/>
      <c r="AL13" s="62">
        <f t="shared" si="9"/>
        <v>1.5</v>
      </c>
      <c r="AM13" s="75">
        <v>19307</v>
      </c>
      <c r="AN13" s="73">
        <v>19458.2</v>
      </c>
      <c r="AO13" s="103">
        <f t="shared" si="10"/>
        <v>0.9922294970757829</v>
      </c>
      <c r="AP13" s="77">
        <f t="shared" si="11"/>
        <v>1.5</v>
      </c>
      <c r="AQ13" s="61"/>
      <c r="AR13" s="78">
        <f t="shared" si="12"/>
        <v>1.5</v>
      </c>
      <c r="AS13" s="102">
        <f t="shared" si="17"/>
        <v>6</v>
      </c>
    </row>
    <row r="14" spans="1:46" s="9" customFormat="1" ht="12.75">
      <c r="A14" s="104" t="s">
        <v>68</v>
      </c>
      <c r="B14" s="58">
        <v>2600</v>
      </c>
      <c r="C14" s="58">
        <v>11912.19543</v>
      </c>
      <c r="D14" s="58">
        <v>0</v>
      </c>
      <c r="E14" s="66">
        <f t="shared" si="13"/>
        <v>0.2182637126194294</v>
      </c>
      <c r="F14" s="60">
        <f>IF(E14&lt;=1.05,1,0)</f>
        <v>1</v>
      </c>
      <c r="G14" s="73"/>
      <c r="H14" s="74">
        <f t="shared" si="0"/>
        <v>1</v>
      </c>
      <c r="I14" s="58">
        <v>0</v>
      </c>
      <c r="J14" s="64">
        <v>241052.02769999998</v>
      </c>
      <c r="K14" s="65">
        <v>163644.97269999998</v>
      </c>
      <c r="L14" s="58">
        <v>31133.989</v>
      </c>
      <c r="M14" s="58">
        <v>0</v>
      </c>
      <c r="N14" s="66">
        <f t="shared" si="18"/>
        <v>0</v>
      </c>
      <c r="O14" s="60">
        <f t="shared" si="1"/>
        <v>1</v>
      </c>
      <c r="P14" s="73"/>
      <c r="Q14" s="74">
        <f t="shared" si="2"/>
        <v>1</v>
      </c>
      <c r="R14" s="101">
        <v>0</v>
      </c>
      <c r="S14" s="58">
        <v>252964.22313</v>
      </c>
      <c r="T14" s="65">
        <v>92665.86</v>
      </c>
      <c r="U14" s="66">
        <f t="shared" si="3"/>
        <v>0</v>
      </c>
      <c r="V14" s="60">
        <f t="shared" si="4"/>
        <v>1</v>
      </c>
      <c r="W14" s="73"/>
      <c r="X14" s="74">
        <f t="shared" si="14"/>
        <v>1</v>
      </c>
      <c r="Y14" s="58">
        <f t="shared" si="15"/>
        <v>11912.19543</v>
      </c>
      <c r="Z14" s="69">
        <v>0</v>
      </c>
      <c r="AA14" s="69">
        <v>9312.19543</v>
      </c>
      <c r="AB14" s="69">
        <v>0</v>
      </c>
      <c r="AC14" s="69">
        <f t="shared" si="5"/>
        <v>241052.02769999998</v>
      </c>
      <c r="AD14" s="69">
        <f t="shared" si="5"/>
        <v>163644.97269999998</v>
      </c>
      <c r="AE14" s="69">
        <f t="shared" si="5"/>
        <v>31133.989</v>
      </c>
      <c r="AF14" s="69">
        <f t="shared" si="16"/>
        <v>46273.06599999999</v>
      </c>
      <c r="AG14" s="70">
        <f t="shared" si="6"/>
        <v>4627.306599999999</v>
      </c>
      <c r="AH14" s="69">
        <f t="shared" si="7"/>
        <v>13939.50203</v>
      </c>
      <c r="AI14" s="105">
        <f>IF((Y14-IF(Z14&gt;0,Z14,0)-IF(AA14&gt;0,AA14,0)-IF(AB14&gt;0,AB14,0))/(AC14-AD14-AE14)&gt;0,(Y14-IF(Z14&gt;0,Z14,0)-IF(AA14&gt;0,AA14,0)-IF(AB14&gt;0,AB14,0))/(AC14-AD14-AE14),0)</f>
        <v>0.056188193797229696</v>
      </c>
      <c r="AJ14" s="72">
        <f t="shared" si="8"/>
        <v>1.5</v>
      </c>
      <c r="AK14" s="106"/>
      <c r="AL14" s="74">
        <f t="shared" si="9"/>
        <v>1.5</v>
      </c>
      <c r="AM14" s="75">
        <v>9351.3</v>
      </c>
      <c r="AN14" s="73">
        <v>10284.8</v>
      </c>
      <c r="AO14" s="103">
        <f t="shared" si="10"/>
        <v>0.9092349875544493</v>
      </c>
      <c r="AP14" s="77">
        <f t="shared" si="11"/>
        <v>1.5</v>
      </c>
      <c r="AQ14" s="106"/>
      <c r="AR14" s="107">
        <f t="shared" si="12"/>
        <v>1.5</v>
      </c>
      <c r="AS14" s="102">
        <f t="shared" si="17"/>
        <v>6</v>
      </c>
      <c r="AT14" s="98"/>
    </row>
    <row r="15" spans="1:46" s="9" customFormat="1" ht="12.75">
      <c r="A15" s="104" t="s">
        <v>69</v>
      </c>
      <c r="B15" s="58">
        <v>0</v>
      </c>
      <c r="C15" s="58">
        <v>10027.134460000001</v>
      </c>
      <c r="D15" s="58">
        <v>0</v>
      </c>
      <c r="E15" s="66">
        <f t="shared" si="13"/>
        <v>0</v>
      </c>
      <c r="F15" s="60">
        <f>IF(E15&lt;=1.05,1,0)</f>
        <v>1</v>
      </c>
      <c r="G15" s="73"/>
      <c r="H15" s="74">
        <f t="shared" si="0"/>
        <v>1</v>
      </c>
      <c r="I15" s="58">
        <v>0</v>
      </c>
      <c r="J15" s="64">
        <v>258645.9705</v>
      </c>
      <c r="K15" s="65">
        <v>195817.9705</v>
      </c>
      <c r="L15" s="58">
        <v>41267.654</v>
      </c>
      <c r="M15" s="58">
        <v>0</v>
      </c>
      <c r="N15" s="66">
        <f t="shared" si="18"/>
        <v>0</v>
      </c>
      <c r="O15" s="60">
        <f t="shared" si="1"/>
        <v>1</v>
      </c>
      <c r="P15" s="73"/>
      <c r="Q15" s="74">
        <f t="shared" si="2"/>
        <v>1</v>
      </c>
      <c r="R15" s="101">
        <v>0</v>
      </c>
      <c r="S15" s="58">
        <v>268673.10495999997</v>
      </c>
      <c r="T15" s="65">
        <v>137851.925</v>
      </c>
      <c r="U15" s="66">
        <f t="shared" si="3"/>
        <v>0</v>
      </c>
      <c r="V15" s="60">
        <f t="shared" si="4"/>
        <v>1</v>
      </c>
      <c r="W15" s="73"/>
      <c r="X15" s="74">
        <f t="shared" si="14"/>
        <v>1</v>
      </c>
      <c r="Y15" s="58">
        <f t="shared" si="15"/>
        <v>10027.134460000001</v>
      </c>
      <c r="Z15" s="69">
        <v>0</v>
      </c>
      <c r="AA15" s="69">
        <v>9957.90202</v>
      </c>
      <c r="AB15" s="69">
        <v>0</v>
      </c>
      <c r="AC15" s="69">
        <f t="shared" si="5"/>
        <v>258645.9705</v>
      </c>
      <c r="AD15" s="69">
        <f t="shared" si="5"/>
        <v>195817.9705</v>
      </c>
      <c r="AE15" s="69">
        <f t="shared" si="5"/>
        <v>41267.654</v>
      </c>
      <c r="AF15" s="69">
        <f t="shared" si="16"/>
        <v>21560.345999999998</v>
      </c>
      <c r="AG15" s="70">
        <f t="shared" si="6"/>
        <v>2156.0346</v>
      </c>
      <c r="AH15" s="69">
        <f t="shared" si="7"/>
        <v>12113.93662</v>
      </c>
      <c r="AI15" s="105">
        <f aca="true" t="shared" si="19" ref="AI15:AI42">IF((Y15-IF(Z15&gt;0,Z15,0)-IF(AA15&gt;0,AA15,0)-IF(AB15&gt;0,AB15,0))/(AC15-AD15-AE15)&gt;0,(Y15-IF(Z15&gt;0,Z15,0)-IF(AA15&gt;0,AA15,0)-IF(AB15&gt;0,AB15,0))/(AC15-AD15-AE15),0)</f>
        <v>0.003211100601075771</v>
      </c>
      <c r="AJ15" s="72">
        <f t="shared" si="8"/>
        <v>1.5</v>
      </c>
      <c r="AK15" s="106"/>
      <c r="AL15" s="74">
        <f t="shared" si="9"/>
        <v>1.5</v>
      </c>
      <c r="AM15" s="75">
        <v>13390.9</v>
      </c>
      <c r="AN15" s="73">
        <v>14628.1</v>
      </c>
      <c r="AO15" s="103">
        <f t="shared" si="10"/>
        <v>0.915423055625816</v>
      </c>
      <c r="AP15" s="77">
        <f t="shared" si="11"/>
        <v>1.5</v>
      </c>
      <c r="AQ15" s="106"/>
      <c r="AR15" s="107">
        <f t="shared" si="12"/>
        <v>1.5</v>
      </c>
      <c r="AS15" s="102">
        <f t="shared" si="17"/>
        <v>6</v>
      </c>
      <c r="AT15" s="98"/>
    </row>
    <row r="16" spans="1:45" s="9" customFormat="1" ht="12.75">
      <c r="A16" s="104" t="s">
        <v>70</v>
      </c>
      <c r="B16" s="58">
        <v>132386.98166</v>
      </c>
      <c r="C16" s="58">
        <v>52680.59592</v>
      </c>
      <c r="D16" s="58">
        <v>119423.78166</v>
      </c>
      <c r="E16" s="66">
        <f t="shared" si="13"/>
        <v>0.769224952447604</v>
      </c>
      <c r="F16" s="60">
        <f>IF(E16&lt;=1.05,1,0)</f>
        <v>1</v>
      </c>
      <c r="G16" s="73"/>
      <c r="H16" s="74">
        <f t="shared" si="0"/>
        <v>1</v>
      </c>
      <c r="I16" s="58">
        <v>68829</v>
      </c>
      <c r="J16" s="64">
        <v>1009319.72796</v>
      </c>
      <c r="K16" s="65">
        <v>730097.08496</v>
      </c>
      <c r="L16" s="58">
        <v>135814.431</v>
      </c>
      <c r="M16" s="58">
        <v>26929</v>
      </c>
      <c r="N16" s="66">
        <f t="shared" si="18"/>
        <v>0.2921729475296714</v>
      </c>
      <c r="O16" s="60">
        <f t="shared" si="1"/>
        <v>1</v>
      </c>
      <c r="P16" s="73"/>
      <c r="Q16" s="74">
        <f t="shared" si="2"/>
        <v>1</v>
      </c>
      <c r="R16" s="101">
        <v>3705.7</v>
      </c>
      <c r="S16" s="58">
        <v>1062000.32388</v>
      </c>
      <c r="T16" s="65">
        <v>448861.821</v>
      </c>
      <c r="U16" s="66">
        <f t="shared" si="3"/>
        <v>0.006043822044438234</v>
      </c>
      <c r="V16" s="60">
        <f t="shared" si="4"/>
        <v>1</v>
      </c>
      <c r="W16" s="73"/>
      <c r="X16" s="74">
        <f t="shared" si="14"/>
        <v>1</v>
      </c>
      <c r="Y16" s="58">
        <f t="shared" si="15"/>
        <v>52680.59592</v>
      </c>
      <c r="Z16" s="69">
        <v>0</v>
      </c>
      <c r="AA16" s="69">
        <v>39717.39592</v>
      </c>
      <c r="AB16" s="69">
        <v>0</v>
      </c>
      <c r="AC16" s="69">
        <f t="shared" si="5"/>
        <v>1009319.72796</v>
      </c>
      <c r="AD16" s="69">
        <f t="shared" si="5"/>
        <v>730097.08496</v>
      </c>
      <c r="AE16" s="69">
        <f t="shared" si="5"/>
        <v>135814.431</v>
      </c>
      <c r="AF16" s="69">
        <f t="shared" si="16"/>
        <v>143408.21200000003</v>
      </c>
      <c r="AG16" s="70">
        <f t="shared" si="6"/>
        <v>14340.821200000004</v>
      </c>
      <c r="AH16" s="69">
        <f>IF(AA16&gt;0,AA16,0)+AG16+IF(AB16&gt;0,AB16,0)</f>
        <v>54058.21712000001</v>
      </c>
      <c r="AI16" s="105">
        <f>IF((Y16-IF(Z16&gt;0,Z16,0)-IF(AA16&gt;0,AA16,0)-IF(AB16&gt;0,AB16,0))/(AC16-AD16-AE16)&gt;0,(Y16-IF(Z16&gt;0,Z16,0)-IF(AA16&gt;0,AA16,0)-IF(AB16&gt;0,AB16,0))/(AC16-AD16-AE16),0)</f>
        <v>0.09039370771877411</v>
      </c>
      <c r="AJ16" s="72">
        <f t="shared" si="8"/>
        <v>1.5</v>
      </c>
      <c r="AK16" s="73"/>
      <c r="AL16" s="74">
        <f t="shared" si="9"/>
        <v>1.5</v>
      </c>
      <c r="AM16" s="75">
        <v>38732.5</v>
      </c>
      <c r="AN16" s="73">
        <v>39840.8</v>
      </c>
      <c r="AO16" s="103">
        <f t="shared" si="10"/>
        <v>0.9721817834983233</v>
      </c>
      <c r="AP16" s="77">
        <f t="shared" si="11"/>
        <v>1.5</v>
      </c>
      <c r="AQ16" s="73"/>
      <c r="AR16" s="107">
        <f t="shared" si="12"/>
        <v>1.5</v>
      </c>
      <c r="AS16" s="102">
        <f t="shared" si="17"/>
        <v>6</v>
      </c>
    </row>
    <row r="17" spans="1:45" s="9" customFormat="1" ht="12.75">
      <c r="A17" s="80" t="s">
        <v>71</v>
      </c>
      <c r="B17" s="81">
        <v>0</v>
      </c>
      <c r="C17" s="81">
        <v>2146.693</v>
      </c>
      <c r="D17" s="81">
        <v>0</v>
      </c>
      <c r="E17" s="82">
        <f t="shared" si="13"/>
        <v>0</v>
      </c>
      <c r="F17" s="83"/>
      <c r="G17" s="84">
        <f>IF(E17&lt;=1.05,1,0)</f>
        <v>1</v>
      </c>
      <c r="H17" s="85">
        <f t="shared" si="0"/>
        <v>1</v>
      </c>
      <c r="I17" s="81">
        <v>0</v>
      </c>
      <c r="J17" s="86">
        <v>271135.039</v>
      </c>
      <c r="K17" s="87">
        <v>185734.614</v>
      </c>
      <c r="L17" s="81">
        <v>47988.101</v>
      </c>
      <c r="M17" s="81">
        <v>0</v>
      </c>
      <c r="N17" s="82">
        <f t="shared" si="18"/>
        <v>0</v>
      </c>
      <c r="O17" s="83"/>
      <c r="P17" s="84">
        <f>IF(N17&lt;=0.5,1,0)</f>
        <v>1</v>
      </c>
      <c r="Q17" s="85">
        <f>O17+P17</f>
        <v>1</v>
      </c>
      <c r="R17" s="89">
        <v>0</v>
      </c>
      <c r="S17" s="81">
        <v>273281.732</v>
      </c>
      <c r="T17" s="87">
        <v>145118.337</v>
      </c>
      <c r="U17" s="82">
        <f t="shared" si="3"/>
        <v>0</v>
      </c>
      <c r="V17" s="83"/>
      <c r="W17" s="84">
        <f aca="true" t="shared" si="20" ref="W17:W23">IF(U17&lt;=0.15,1,0)</f>
        <v>1</v>
      </c>
      <c r="X17" s="85">
        <f t="shared" si="14"/>
        <v>1</v>
      </c>
      <c r="Y17" s="81">
        <f t="shared" si="15"/>
        <v>2146.693</v>
      </c>
      <c r="Z17" s="90">
        <v>0</v>
      </c>
      <c r="AA17" s="90">
        <v>2146.693</v>
      </c>
      <c r="AB17" s="90">
        <v>0</v>
      </c>
      <c r="AC17" s="90">
        <f t="shared" si="5"/>
        <v>271135.039</v>
      </c>
      <c r="AD17" s="90">
        <f t="shared" si="5"/>
        <v>185734.614</v>
      </c>
      <c r="AE17" s="90">
        <f t="shared" si="5"/>
        <v>47988.101</v>
      </c>
      <c r="AF17" s="90">
        <f t="shared" si="16"/>
        <v>37412.323999999986</v>
      </c>
      <c r="AG17" s="90">
        <f>AF17*5%</f>
        <v>1870.6161999999995</v>
      </c>
      <c r="AH17" s="90">
        <f aca="true" t="shared" si="21" ref="AH17:AH42">IF(AA17&gt;0,AA17,0)+AG17+IF(AB17&gt;0,AB17,0)</f>
        <v>4017.3091999999997</v>
      </c>
      <c r="AI17" s="91">
        <f t="shared" si="19"/>
        <v>0</v>
      </c>
      <c r="AJ17" s="92"/>
      <c r="AK17" s="93">
        <f aca="true" t="shared" si="22" ref="AK17:AK23">IF(AI17&lt;=0.055,1.5,0)</f>
        <v>1.5</v>
      </c>
      <c r="AL17" s="85">
        <f t="shared" si="9"/>
        <v>1.5</v>
      </c>
      <c r="AM17" s="94">
        <v>9516.3</v>
      </c>
      <c r="AN17" s="84">
        <v>10185.5</v>
      </c>
      <c r="AO17" s="95">
        <f t="shared" si="10"/>
        <v>0.9342987580383878</v>
      </c>
      <c r="AP17" s="92"/>
      <c r="AQ17" s="93">
        <f aca="true" t="shared" si="23" ref="AQ17:AQ23">IF(AO17&lt;=1.005,1.5,0)</f>
        <v>1.5</v>
      </c>
      <c r="AR17" s="96">
        <f t="shared" si="12"/>
        <v>1.5</v>
      </c>
      <c r="AS17" s="97">
        <f t="shared" si="17"/>
        <v>6</v>
      </c>
    </row>
    <row r="18" spans="1:45" s="9" customFormat="1" ht="12.75">
      <c r="A18" s="80" t="s">
        <v>72</v>
      </c>
      <c r="B18" s="81">
        <v>0</v>
      </c>
      <c r="C18" s="81">
        <v>0</v>
      </c>
      <c r="D18" s="81">
        <v>0</v>
      </c>
      <c r="E18" s="82">
        <f t="shared" si="13"/>
        <v>0</v>
      </c>
      <c r="F18" s="83"/>
      <c r="G18" s="84">
        <f aca="true" t="shared" si="24" ref="G18:G23">IF(E18&lt;=1.05,1,0)</f>
        <v>1</v>
      </c>
      <c r="H18" s="85">
        <f t="shared" si="0"/>
        <v>1</v>
      </c>
      <c r="I18" s="81">
        <v>0</v>
      </c>
      <c r="J18" s="86">
        <v>200232.78730000003</v>
      </c>
      <c r="K18" s="87">
        <v>172965.70330000002</v>
      </c>
      <c r="L18" s="81">
        <v>15457.133</v>
      </c>
      <c r="M18" s="81">
        <v>0</v>
      </c>
      <c r="N18" s="82">
        <f t="shared" si="18"/>
        <v>0</v>
      </c>
      <c r="O18" s="83"/>
      <c r="P18" s="84">
        <f aca="true" t="shared" si="25" ref="P18:P23">IF(N18&lt;=0.5,1,0)</f>
        <v>1</v>
      </c>
      <c r="Q18" s="85">
        <f t="shared" si="2"/>
        <v>1</v>
      </c>
      <c r="R18" s="89">
        <v>0</v>
      </c>
      <c r="S18" s="81">
        <v>200232.78730000003</v>
      </c>
      <c r="T18" s="87">
        <v>110240.549</v>
      </c>
      <c r="U18" s="82">
        <f t="shared" si="3"/>
        <v>0</v>
      </c>
      <c r="V18" s="83"/>
      <c r="W18" s="84">
        <f t="shared" si="20"/>
        <v>1</v>
      </c>
      <c r="X18" s="85">
        <f t="shared" si="14"/>
        <v>1</v>
      </c>
      <c r="Y18" s="81">
        <f t="shared" si="15"/>
        <v>0</v>
      </c>
      <c r="Z18" s="90">
        <v>0</v>
      </c>
      <c r="AA18" s="90">
        <v>0</v>
      </c>
      <c r="AB18" s="90">
        <v>0</v>
      </c>
      <c r="AC18" s="90">
        <f t="shared" si="5"/>
        <v>200232.78730000003</v>
      </c>
      <c r="AD18" s="90">
        <f t="shared" si="5"/>
        <v>172965.70330000002</v>
      </c>
      <c r="AE18" s="90">
        <f t="shared" si="5"/>
        <v>15457.133</v>
      </c>
      <c r="AF18" s="90">
        <f t="shared" si="16"/>
        <v>11809.951000000003</v>
      </c>
      <c r="AG18" s="90">
        <f aca="true" t="shared" si="26" ref="AG18:AG39">AF18*5%</f>
        <v>590.4975500000002</v>
      </c>
      <c r="AH18" s="90">
        <f t="shared" si="21"/>
        <v>590.4975500000002</v>
      </c>
      <c r="AI18" s="91">
        <f t="shared" si="19"/>
        <v>0</v>
      </c>
      <c r="AJ18" s="83"/>
      <c r="AK18" s="93">
        <f t="shared" si="22"/>
        <v>1.5</v>
      </c>
      <c r="AL18" s="85">
        <f t="shared" si="9"/>
        <v>1.5</v>
      </c>
      <c r="AM18" s="94">
        <v>6604.1</v>
      </c>
      <c r="AN18" s="84">
        <v>6828.9</v>
      </c>
      <c r="AO18" s="95">
        <f t="shared" si="10"/>
        <v>0.9670810818726296</v>
      </c>
      <c r="AP18" s="83"/>
      <c r="AQ18" s="93">
        <f t="shared" si="23"/>
        <v>1.5</v>
      </c>
      <c r="AR18" s="96">
        <f t="shared" si="12"/>
        <v>1.5</v>
      </c>
      <c r="AS18" s="97">
        <f t="shared" si="17"/>
        <v>6</v>
      </c>
    </row>
    <row r="19" spans="1:46" s="9" customFormat="1" ht="12.75">
      <c r="A19" s="80" t="s">
        <v>73</v>
      </c>
      <c r="B19" s="81">
        <v>0</v>
      </c>
      <c r="C19" s="81">
        <v>3149.1937799999996</v>
      </c>
      <c r="D19" s="81">
        <v>0</v>
      </c>
      <c r="E19" s="82">
        <f t="shared" si="13"/>
        <v>0</v>
      </c>
      <c r="F19" s="83"/>
      <c r="G19" s="84">
        <f t="shared" si="24"/>
        <v>1</v>
      </c>
      <c r="H19" s="85">
        <f t="shared" si="0"/>
        <v>1</v>
      </c>
      <c r="I19" s="81">
        <v>0</v>
      </c>
      <c r="J19" s="86">
        <v>257348.5821</v>
      </c>
      <c r="K19" s="87">
        <v>190958.5821</v>
      </c>
      <c r="L19" s="81">
        <v>38522.35</v>
      </c>
      <c r="M19" s="81">
        <v>0</v>
      </c>
      <c r="N19" s="82">
        <f t="shared" si="18"/>
        <v>0</v>
      </c>
      <c r="O19" s="83"/>
      <c r="P19" s="84">
        <f t="shared" si="25"/>
        <v>1</v>
      </c>
      <c r="Q19" s="85">
        <f t="shared" si="2"/>
        <v>1</v>
      </c>
      <c r="R19" s="89">
        <v>0</v>
      </c>
      <c r="S19" s="81">
        <v>260497.77588</v>
      </c>
      <c r="T19" s="87">
        <v>138199.717</v>
      </c>
      <c r="U19" s="82">
        <f t="shared" si="3"/>
        <v>0</v>
      </c>
      <c r="V19" s="83"/>
      <c r="W19" s="84">
        <f t="shared" si="20"/>
        <v>1</v>
      </c>
      <c r="X19" s="85">
        <f t="shared" si="14"/>
        <v>1</v>
      </c>
      <c r="Y19" s="81">
        <f t="shared" si="15"/>
        <v>3149.1937799999996</v>
      </c>
      <c r="Z19" s="90">
        <v>0</v>
      </c>
      <c r="AA19" s="90">
        <v>3149.1937799999996</v>
      </c>
      <c r="AB19" s="90">
        <v>0</v>
      </c>
      <c r="AC19" s="90">
        <f t="shared" si="5"/>
        <v>257348.5821</v>
      </c>
      <c r="AD19" s="90">
        <f t="shared" si="5"/>
        <v>190958.5821</v>
      </c>
      <c r="AE19" s="90">
        <f t="shared" si="5"/>
        <v>38522.35</v>
      </c>
      <c r="AF19" s="90">
        <f t="shared" si="16"/>
        <v>27867.65</v>
      </c>
      <c r="AG19" s="90">
        <f t="shared" si="26"/>
        <v>1393.3825000000002</v>
      </c>
      <c r="AH19" s="90">
        <f t="shared" si="21"/>
        <v>4542.576279999999</v>
      </c>
      <c r="AI19" s="91">
        <f t="shared" si="19"/>
        <v>0</v>
      </c>
      <c r="AJ19" s="92"/>
      <c r="AK19" s="93">
        <f t="shared" si="22"/>
        <v>1.5</v>
      </c>
      <c r="AL19" s="85">
        <f t="shared" si="9"/>
        <v>1.5</v>
      </c>
      <c r="AM19" s="94">
        <v>9843.4</v>
      </c>
      <c r="AN19" s="84">
        <v>10680.7</v>
      </c>
      <c r="AO19" s="95">
        <f t="shared" si="10"/>
        <v>0.9216062617618694</v>
      </c>
      <c r="AP19" s="92"/>
      <c r="AQ19" s="93">
        <f t="shared" si="23"/>
        <v>1.5</v>
      </c>
      <c r="AR19" s="96">
        <f t="shared" si="12"/>
        <v>1.5</v>
      </c>
      <c r="AS19" s="97">
        <f t="shared" si="17"/>
        <v>6</v>
      </c>
      <c r="AT19" s="98"/>
    </row>
    <row r="20" spans="1:45" s="9" customFormat="1" ht="12.75">
      <c r="A20" s="80" t="s">
        <v>74</v>
      </c>
      <c r="B20" s="81">
        <v>0</v>
      </c>
      <c r="C20" s="81">
        <v>2188.5</v>
      </c>
      <c r="D20" s="81">
        <v>0</v>
      </c>
      <c r="E20" s="82">
        <f t="shared" si="13"/>
        <v>0</v>
      </c>
      <c r="F20" s="83"/>
      <c r="G20" s="84">
        <f t="shared" si="24"/>
        <v>1</v>
      </c>
      <c r="H20" s="85">
        <f t="shared" si="0"/>
        <v>1</v>
      </c>
      <c r="I20" s="81">
        <v>0</v>
      </c>
      <c r="J20" s="86">
        <v>133151.4698</v>
      </c>
      <c r="K20" s="87">
        <v>101838.6798</v>
      </c>
      <c r="L20" s="81">
        <v>19721.41</v>
      </c>
      <c r="M20" s="81">
        <v>0</v>
      </c>
      <c r="N20" s="82">
        <f t="shared" si="18"/>
        <v>0</v>
      </c>
      <c r="O20" s="83"/>
      <c r="P20" s="84">
        <f t="shared" si="25"/>
        <v>1</v>
      </c>
      <c r="Q20" s="85">
        <f t="shared" si="2"/>
        <v>1</v>
      </c>
      <c r="R20" s="89">
        <v>0</v>
      </c>
      <c r="S20" s="81">
        <v>135339.96980000002</v>
      </c>
      <c r="T20" s="87">
        <v>72467.109</v>
      </c>
      <c r="U20" s="82">
        <f t="shared" si="3"/>
        <v>0</v>
      </c>
      <c r="V20" s="83"/>
      <c r="W20" s="84">
        <f t="shared" si="20"/>
        <v>1</v>
      </c>
      <c r="X20" s="85">
        <f t="shared" si="14"/>
        <v>1</v>
      </c>
      <c r="Y20" s="81">
        <f t="shared" si="15"/>
        <v>2188.5</v>
      </c>
      <c r="Z20" s="90">
        <v>0</v>
      </c>
      <c r="AA20" s="90">
        <v>2188.5</v>
      </c>
      <c r="AB20" s="90">
        <v>0</v>
      </c>
      <c r="AC20" s="90">
        <f t="shared" si="5"/>
        <v>133151.4698</v>
      </c>
      <c r="AD20" s="90">
        <f t="shared" si="5"/>
        <v>101838.6798</v>
      </c>
      <c r="AE20" s="90">
        <f t="shared" si="5"/>
        <v>19721.41</v>
      </c>
      <c r="AF20" s="90">
        <f t="shared" si="16"/>
        <v>11591.379999999994</v>
      </c>
      <c r="AG20" s="90">
        <f t="shared" si="26"/>
        <v>579.5689999999997</v>
      </c>
      <c r="AH20" s="90">
        <f t="shared" si="21"/>
        <v>2768.0689999999995</v>
      </c>
      <c r="AI20" s="91">
        <f t="shared" si="19"/>
        <v>0</v>
      </c>
      <c r="AJ20" s="83"/>
      <c r="AK20" s="93">
        <f t="shared" si="22"/>
        <v>1.5</v>
      </c>
      <c r="AL20" s="85">
        <f t="shared" si="9"/>
        <v>1.5</v>
      </c>
      <c r="AM20" s="94">
        <v>6789.3</v>
      </c>
      <c r="AN20" s="84">
        <v>8229.4</v>
      </c>
      <c r="AO20" s="95">
        <f t="shared" si="10"/>
        <v>0.8250054681993828</v>
      </c>
      <c r="AP20" s="83"/>
      <c r="AQ20" s="93">
        <f t="shared" si="23"/>
        <v>1.5</v>
      </c>
      <c r="AR20" s="96">
        <f t="shared" si="12"/>
        <v>1.5</v>
      </c>
      <c r="AS20" s="97">
        <f t="shared" si="17"/>
        <v>6</v>
      </c>
    </row>
    <row r="21" spans="1:46" s="9" customFormat="1" ht="12.75">
      <c r="A21" s="80" t="s">
        <v>75</v>
      </c>
      <c r="B21" s="81">
        <v>2100</v>
      </c>
      <c r="C21" s="81">
        <v>21311.74786</v>
      </c>
      <c r="D21" s="81">
        <v>0</v>
      </c>
      <c r="E21" s="82">
        <f t="shared" si="13"/>
        <v>0.09853720181916605</v>
      </c>
      <c r="F21" s="83"/>
      <c r="G21" s="84">
        <f t="shared" si="24"/>
        <v>1</v>
      </c>
      <c r="H21" s="85">
        <f t="shared" si="0"/>
        <v>1</v>
      </c>
      <c r="I21" s="81">
        <v>0</v>
      </c>
      <c r="J21" s="86">
        <v>401044.42364</v>
      </c>
      <c r="K21" s="87">
        <v>280756.72364</v>
      </c>
      <c r="L21" s="81">
        <v>72857.987</v>
      </c>
      <c r="M21" s="81">
        <v>0</v>
      </c>
      <c r="N21" s="82">
        <f t="shared" si="18"/>
        <v>0</v>
      </c>
      <c r="O21" s="83"/>
      <c r="P21" s="84">
        <f t="shared" si="25"/>
        <v>1</v>
      </c>
      <c r="Q21" s="85">
        <f t="shared" si="2"/>
        <v>1</v>
      </c>
      <c r="R21" s="89">
        <v>0</v>
      </c>
      <c r="S21" s="81">
        <v>422356.1715</v>
      </c>
      <c r="T21" s="87">
        <v>224266.268</v>
      </c>
      <c r="U21" s="82">
        <f t="shared" si="3"/>
        <v>0</v>
      </c>
      <c r="V21" s="83"/>
      <c r="W21" s="84">
        <f t="shared" si="20"/>
        <v>1</v>
      </c>
      <c r="X21" s="85">
        <f t="shared" si="14"/>
        <v>1</v>
      </c>
      <c r="Y21" s="81">
        <f t="shared" si="15"/>
        <v>21311.74786</v>
      </c>
      <c r="Z21" s="90">
        <v>17220</v>
      </c>
      <c r="AA21" s="90">
        <v>1991.7478600000002</v>
      </c>
      <c r="AB21" s="90">
        <v>0</v>
      </c>
      <c r="AC21" s="90">
        <f t="shared" si="5"/>
        <v>401044.42364</v>
      </c>
      <c r="AD21" s="90">
        <f t="shared" si="5"/>
        <v>280756.72364</v>
      </c>
      <c r="AE21" s="90">
        <f t="shared" si="5"/>
        <v>72857.987</v>
      </c>
      <c r="AF21" s="90">
        <f t="shared" si="16"/>
        <v>47429.71300000002</v>
      </c>
      <c r="AG21" s="90">
        <f t="shared" si="26"/>
        <v>2371.485650000001</v>
      </c>
      <c r="AH21" s="90">
        <f t="shared" si="21"/>
        <v>4363.233510000001</v>
      </c>
      <c r="AI21" s="91">
        <f t="shared" si="19"/>
        <v>0.04427604274139289</v>
      </c>
      <c r="AJ21" s="92"/>
      <c r="AK21" s="93">
        <f t="shared" si="22"/>
        <v>1.5</v>
      </c>
      <c r="AL21" s="85">
        <f t="shared" si="9"/>
        <v>1.5</v>
      </c>
      <c r="AM21" s="94">
        <v>16090.9</v>
      </c>
      <c r="AN21" s="84">
        <v>18679.4</v>
      </c>
      <c r="AO21" s="95">
        <f t="shared" si="10"/>
        <v>0.8614248851676177</v>
      </c>
      <c r="AP21" s="92"/>
      <c r="AQ21" s="93">
        <f t="shared" si="23"/>
        <v>1.5</v>
      </c>
      <c r="AR21" s="96">
        <f t="shared" si="12"/>
        <v>1.5</v>
      </c>
      <c r="AS21" s="97">
        <f t="shared" si="17"/>
        <v>6</v>
      </c>
      <c r="AT21" s="98"/>
    </row>
    <row r="22" spans="1:45" s="9" customFormat="1" ht="12.75">
      <c r="A22" s="80" t="s">
        <v>76</v>
      </c>
      <c r="B22" s="81">
        <v>0</v>
      </c>
      <c r="C22" s="81">
        <v>1864.266</v>
      </c>
      <c r="D22" s="81">
        <v>0</v>
      </c>
      <c r="E22" s="82">
        <f t="shared" si="13"/>
        <v>0</v>
      </c>
      <c r="F22" s="83"/>
      <c r="G22" s="84">
        <f t="shared" si="24"/>
        <v>1</v>
      </c>
      <c r="H22" s="85">
        <f t="shared" si="0"/>
        <v>1</v>
      </c>
      <c r="I22" s="81">
        <v>0</v>
      </c>
      <c r="J22" s="86">
        <v>190815.134</v>
      </c>
      <c r="K22" s="87">
        <v>150655.888</v>
      </c>
      <c r="L22" s="81">
        <v>28191.125</v>
      </c>
      <c r="M22" s="81">
        <v>0</v>
      </c>
      <c r="N22" s="82">
        <f t="shared" si="18"/>
        <v>0</v>
      </c>
      <c r="O22" s="83"/>
      <c r="P22" s="84">
        <f t="shared" si="25"/>
        <v>1</v>
      </c>
      <c r="Q22" s="85">
        <f t="shared" si="2"/>
        <v>1</v>
      </c>
      <c r="R22" s="89">
        <v>0</v>
      </c>
      <c r="S22" s="81">
        <v>192679.4</v>
      </c>
      <c r="T22" s="87">
        <v>99291.325</v>
      </c>
      <c r="U22" s="82">
        <f t="shared" si="3"/>
        <v>0</v>
      </c>
      <c r="V22" s="83"/>
      <c r="W22" s="84">
        <f t="shared" si="20"/>
        <v>1</v>
      </c>
      <c r="X22" s="85">
        <f t="shared" si="14"/>
        <v>1</v>
      </c>
      <c r="Y22" s="81">
        <f t="shared" si="15"/>
        <v>1864.266</v>
      </c>
      <c r="Z22" s="90">
        <v>0</v>
      </c>
      <c r="AA22" s="90">
        <v>1864.266</v>
      </c>
      <c r="AB22" s="90">
        <v>0</v>
      </c>
      <c r="AC22" s="90">
        <f t="shared" si="5"/>
        <v>190815.134</v>
      </c>
      <c r="AD22" s="90">
        <f t="shared" si="5"/>
        <v>150655.888</v>
      </c>
      <c r="AE22" s="90">
        <f t="shared" si="5"/>
        <v>28191.125</v>
      </c>
      <c r="AF22" s="90">
        <f t="shared" si="16"/>
        <v>11968.120999999985</v>
      </c>
      <c r="AG22" s="90">
        <f t="shared" si="26"/>
        <v>598.4060499999993</v>
      </c>
      <c r="AH22" s="90">
        <f t="shared" si="21"/>
        <v>2462.672049999999</v>
      </c>
      <c r="AI22" s="91">
        <f t="shared" si="19"/>
        <v>0</v>
      </c>
      <c r="AJ22" s="83"/>
      <c r="AK22" s="93">
        <f t="shared" si="22"/>
        <v>1.5</v>
      </c>
      <c r="AL22" s="85">
        <f t="shared" si="9"/>
        <v>1.5</v>
      </c>
      <c r="AM22" s="94">
        <v>8262.5</v>
      </c>
      <c r="AN22" s="84">
        <v>10830.6</v>
      </c>
      <c r="AO22" s="95">
        <f t="shared" si="10"/>
        <v>0.7628847893930161</v>
      </c>
      <c r="AP22" s="83"/>
      <c r="AQ22" s="93">
        <f t="shared" si="23"/>
        <v>1.5</v>
      </c>
      <c r="AR22" s="96">
        <f t="shared" si="12"/>
        <v>1.5</v>
      </c>
      <c r="AS22" s="97">
        <f t="shared" si="17"/>
        <v>6</v>
      </c>
    </row>
    <row r="23" spans="1:46" s="9" customFormat="1" ht="12.75">
      <c r="A23" s="80" t="s">
        <v>77</v>
      </c>
      <c r="B23" s="81">
        <v>1948.083</v>
      </c>
      <c r="C23" s="81">
        <v>8169.4464800000005</v>
      </c>
      <c r="D23" s="81">
        <v>0</v>
      </c>
      <c r="E23" s="82">
        <f t="shared" si="13"/>
        <v>0.23845960736375374</v>
      </c>
      <c r="F23" s="83"/>
      <c r="G23" s="84">
        <f t="shared" si="24"/>
        <v>1</v>
      </c>
      <c r="H23" s="85">
        <f t="shared" si="0"/>
        <v>1</v>
      </c>
      <c r="I23" s="81">
        <v>0</v>
      </c>
      <c r="J23" s="86">
        <v>371368.62017</v>
      </c>
      <c r="K23" s="87">
        <v>250352.44017</v>
      </c>
      <c r="L23" s="81">
        <v>82157.965</v>
      </c>
      <c r="M23" s="81">
        <v>0</v>
      </c>
      <c r="N23" s="82">
        <f t="shared" si="18"/>
        <v>0</v>
      </c>
      <c r="O23" s="83"/>
      <c r="P23" s="84">
        <f t="shared" si="25"/>
        <v>1</v>
      </c>
      <c r="Q23" s="85">
        <f t="shared" si="2"/>
        <v>1</v>
      </c>
      <c r="R23" s="89">
        <v>0</v>
      </c>
      <c r="S23" s="81">
        <v>379538.06665</v>
      </c>
      <c r="T23" s="87">
        <v>192785.417</v>
      </c>
      <c r="U23" s="82">
        <f t="shared" si="3"/>
        <v>0</v>
      </c>
      <c r="V23" s="83"/>
      <c r="W23" s="84">
        <f t="shared" si="20"/>
        <v>1</v>
      </c>
      <c r="X23" s="85">
        <f t="shared" si="14"/>
        <v>1</v>
      </c>
      <c r="Y23" s="81">
        <f t="shared" si="15"/>
        <v>8169.4464800000005</v>
      </c>
      <c r="Z23" s="90">
        <v>0</v>
      </c>
      <c r="AA23" s="90">
        <v>6221.363480000001</v>
      </c>
      <c r="AB23" s="90">
        <v>0</v>
      </c>
      <c r="AC23" s="90">
        <f t="shared" si="5"/>
        <v>371368.62017</v>
      </c>
      <c r="AD23" s="90">
        <f t="shared" si="5"/>
        <v>250352.44017</v>
      </c>
      <c r="AE23" s="90">
        <f t="shared" si="5"/>
        <v>82157.965</v>
      </c>
      <c r="AF23" s="90">
        <f t="shared" si="16"/>
        <v>38858.215000000026</v>
      </c>
      <c r="AG23" s="90">
        <f t="shared" si="26"/>
        <v>1942.9107500000014</v>
      </c>
      <c r="AH23" s="90">
        <f t="shared" si="21"/>
        <v>8164.274230000003</v>
      </c>
      <c r="AI23" s="91">
        <f t="shared" si="19"/>
        <v>0.05013310570235916</v>
      </c>
      <c r="AJ23" s="92"/>
      <c r="AK23" s="93">
        <f t="shared" si="22"/>
        <v>1.5</v>
      </c>
      <c r="AL23" s="85">
        <f t="shared" si="9"/>
        <v>1.5</v>
      </c>
      <c r="AM23" s="94">
        <v>18686.2</v>
      </c>
      <c r="AN23" s="84">
        <v>19605.8</v>
      </c>
      <c r="AO23" s="95">
        <f t="shared" si="10"/>
        <v>0.953095512552408</v>
      </c>
      <c r="AP23" s="92"/>
      <c r="AQ23" s="93">
        <f t="shared" si="23"/>
        <v>1.5</v>
      </c>
      <c r="AR23" s="96">
        <f t="shared" si="12"/>
        <v>1.5</v>
      </c>
      <c r="AS23" s="97">
        <f t="shared" si="17"/>
        <v>6</v>
      </c>
      <c r="AT23" s="98"/>
    </row>
    <row r="24" spans="1:46" s="9" customFormat="1" ht="12.75">
      <c r="A24" s="104" t="s">
        <v>78</v>
      </c>
      <c r="B24" s="58">
        <v>0</v>
      </c>
      <c r="C24" s="58">
        <v>6832.624</v>
      </c>
      <c r="D24" s="58">
        <v>0</v>
      </c>
      <c r="E24" s="66">
        <f t="shared" si="13"/>
        <v>0</v>
      </c>
      <c r="F24" s="60">
        <f>IF(E24&lt;=1.05,1,0)</f>
        <v>1</v>
      </c>
      <c r="G24" s="73"/>
      <c r="H24" s="74">
        <f t="shared" si="0"/>
        <v>1</v>
      </c>
      <c r="I24" s="58">
        <v>0</v>
      </c>
      <c r="J24" s="64">
        <v>233562.146</v>
      </c>
      <c r="K24" s="65">
        <v>180791.546</v>
      </c>
      <c r="L24" s="58">
        <v>36268.525</v>
      </c>
      <c r="M24" s="58">
        <v>0</v>
      </c>
      <c r="N24" s="66">
        <f t="shared" si="18"/>
        <v>0</v>
      </c>
      <c r="O24" s="60">
        <f>IF(N24&lt;=1,1,0)</f>
        <v>1</v>
      </c>
      <c r="P24" s="73"/>
      <c r="Q24" s="74">
        <f t="shared" si="2"/>
        <v>1</v>
      </c>
      <c r="R24" s="101">
        <v>0</v>
      </c>
      <c r="S24" s="58">
        <v>240394.77</v>
      </c>
      <c r="T24" s="65">
        <v>125324.461</v>
      </c>
      <c r="U24" s="66">
        <f t="shared" si="3"/>
        <v>0</v>
      </c>
      <c r="V24" s="60">
        <f>IF(U24&lt;=0.15,1,0)</f>
        <v>1</v>
      </c>
      <c r="W24" s="73"/>
      <c r="X24" s="74">
        <f t="shared" si="14"/>
        <v>1</v>
      </c>
      <c r="Y24" s="58">
        <f t="shared" si="15"/>
        <v>6832.624</v>
      </c>
      <c r="Z24" s="69">
        <v>0</v>
      </c>
      <c r="AA24" s="69">
        <v>6832.624</v>
      </c>
      <c r="AB24" s="69">
        <v>0</v>
      </c>
      <c r="AC24" s="69">
        <f t="shared" si="5"/>
        <v>233562.146</v>
      </c>
      <c r="AD24" s="69">
        <f t="shared" si="5"/>
        <v>180791.546</v>
      </c>
      <c r="AE24" s="69">
        <f t="shared" si="5"/>
        <v>36268.525</v>
      </c>
      <c r="AF24" s="69">
        <f t="shared" si="16"/>
        <v>16502.075000000004</v>
      </c>
      <c r="AG24" s="70">
        <f>AF24*10%</f>
        <v>1650.2075000000004</v>
      </c>
      <c r="AH24" s="69">
        <f t="shared" si="21"/>
        <v>8482.8315</v>
      </c>
      <c r="AI24" s="105">
        <f t="shared" si="19"/>
        <v>0</v>
      </c>
      <c r="AJ24" s="72">
        <f t="shared" si="8"/>
        <v>1.5</v>
      </c>
      <c r="AK24" s="106"/>
      <c r="AL24" s="74">
        <f t="shared" si="9"/>
        <v>1.5</v>
      </c>
      <c r="AM24" s="75">
        <v>9747.7</v>
      </c>
      <c r="AN24" s="73">
        <v>10902.3</v>
      </c>
      <c r="AO24" s="103">
        <f t="shared" si="10"/>
        <v>0.8940957412656046</v>
      </c>
      <c r="AP24" s="77">
        <f>IF(AO24&lt;=1.005,1.5,0)</f>
        <v>1.5</v>
      </c>
      <c r="AQ24" s="106"/>
      <c r="AR24" s="107">
        <f t="shared" si="12"/>
        <v>1.5</v>
      </c>
      <c r="AS24" s="102">
        <f t="shared" si="17"/>
        <v>6</v>
      </c>
      <c r="AT24" s="98"/>
    </row>
    <row r="25" spans="1:45" s="9" customFormat="1" ht="12.75">
      <c r="A25" s="80" t="s">
        <v>79</v>
      </c>
      <c r="B25" s="81">
        <v>0</v>
      </c>
      <c r="C25" s="81">
        <v>730.4257</v>
      </c>
      <c r="D25" s="81">
        <v>1774.564</v>
      </c>
      <c r="E25" s="82">
        <f t="shared" si="13"/>
        <v>0</v>
      </c>
      <c r="F25" s="83"/>
      <c r="G25" s="84">
        <f aca="true" t="shared" si="27" ref="G25:G39">IF(E25&lt;=1.05,1,0)</f>
        <v>1</v>
      </c>
      <c r="H25" s="85">
        <f t="shared" si="0"/>
        <v>1</v>
      </c>
      <c r="I25" s="81">
        <v>1344</v>
      </c>
      <c r="J25" s="86">
        <v>401069.992</v>
      </c>
      <c r="K25" s="87">
        <v>294022.992</v>
      </c>
      <c r="L25" s="81">
        <v>71140.033</v>
      </c>
      <c r="M25" s="81">
        <v>0</v>
      </c>
      <c r="N25" s="82">
        <f t="shared" si="18"/>
        <v>0.03743006197098184</v>
      </c>
      <c r="O25" s="83"/>
      <c r="P25" s="84">
        <f>IF(N25&lt;=0.5,1,0)</f>
        <v>1</v>
      </c>
      <c r="Q25" s="85">
        <f>O25+P25</f>
        <v>1</v>
      </c>
      <c r="R25" s="89">
        <v>92.1</v>
      </c>
      <c r="S25" s="81">
        <v>401800.4177</v>
      </c>
      <c r="T25" s="87">
        <v>231663.911</v>
      </c>
      <c r="U25" s="82">
        <f t="shared" si="3"/>
        <v>0.0005413300283777367</v>
      </c>
      <c r="V25" s="83"/>
      <c r="W25" s="84">
        <f aca="true" t="shared" si="28" ref="W25:W38">IF(U25&lt;=0.15,1,0)</f>
        <v>1</v>
      </c>
      <c r="X25" s="85">
        <f t="shared" si="14"/>
        <v>1</v>
      </c>
      <c r="Y25" s="81">
        <f t="shared" si="15"/>
        <v>730.4257</v>
      </c>
      <c r="Z25" s="90">
        <v>0</v>
      </c>
      <c r="AA25" s="90">
        <v>2504.9897</v>
      </c>
      <c r="AB25" s="90">
        <v>0</v>
      </c>
      <c r="AC25" s="90">
        <f t="shared" si="5"/>
        <v>401069.992</v>
      </c>
      <c r="AD25" s="90">
        <f t="shared" si="5"/>
        <v>294022.992</v>
      </c>
      <c r="AE25" s="90">
        <f t="shared" si="5"/>
        <v>71140.033</v>
      </c>
      <c r="AF25" s="90">
        <f t="shared" si="16"/>
        <v>35906.967000000004</v>
      </c>
      <c r="AG25" s="90">
        <f t="shared" si="26"/>
        <v>1795.3483500000002</v>
      </c>
      <c r="AH25" s="90">
        <f t="shared" si="21"/>
        <v>4300.33805</v>
      </c>
      <c r="AI25" s="91">
        <f t="shared" si="19"/>
        <v>0</v>
      </c>
      <c r="AJ25" s="92"/>
      <c r="AK25" s="93">
        <f aca="true" t="shared" si="29" ref="AK25:AK32">IF(AI25&lt;=0.055,1.5,0)</f>
        <v>1.5</v>
      </c>
      <c r="AL25" s="85">
        <f t="shared" si="9"/>
        <v>1.5</v>
      </c>
      <c r="AM25" s="94">
        <v>11526.5</v>
      </c>
      <c r="AN25" s="84">
        <v>15917.5</v>
      </c>
      <c r="AO25" s="95">
        <f t="shared" si="10"/>
        <v>0.7241400973771007</v>
      </c>
      <c r="AP25" s="92"/>
      <c r="AQ25" s="93">
        <f aca="true" t="shared" si="30" ref="AQ25:AQ37">IF(AO25&lt;=1.005,1.5,0)</f>
        <v>1.5</v>
      </c>
      <c r="AR25" s="96">
        <f t="shared" si="12"/>
        <v>1.5</v>
      </c>
      <c r="AS25" s="97">
        <f t="shared" si="17"/>
        <v>6</v>
      </c>
    </row>
    <row r="26" spans="1:45" s="9" customFormat="1" ht="12.75">
      <c r="A26" s="80" t="s">
        <v>80</v>
      </c>
      <c r="B26" s="81">
        <v>0</v>
      </c>
      <c r="C26" s="81">
        <v>-962.554</v>
      </c>
      <c r="D26" s="81">
        <v>0</v>
      </c>
      <c r="E26" s="82">
        <f t="shared" si="13"/>
        <v>0</v>
      </c>
      <c r="F26" s="83"/>
      <c r="G26" s="84">
        <f t="shared" si="27"/>
        <v>1</v>
      </c>
      <c r="H26" s="85">
        <f t="shared" si="0"/>
        <v>1</v>
      </c>
      <c r="I26" s="81">
        <v>0</v>
      </c>
      <c r="J26" s="86">
        <v>260721.974</v>
      </c>
      <c r="K26" s="87">
        <v>200775.665</v>
      </c>
      <c r="L26" s="81">
        <v>36384.733</v>
      </c>
      <c r="M26" s="81">
        <v>0</v>
      </c>
      <c r="N26" s="82">
        <f t="shared" si="18"/>
        <v>0</v>
      </c>
      <c r="O26" s="83"/>
      <c r="P26" s="84">
        <f aca="true" t="shared" si="31" ref="P26:P38">IF(N26&lt;=0.5,1,0)</f>
        <v>1</v>
      </c>
      <c r="Q26" s="85">
        <f t="shared" si="2"/>
        <v>1</v>
      </c>
      <c r="R26" s="89">
        <v>0</v>
      </c>
      <c r="S26" s="81">
        <v>259759.42</v>
      </c>
      <c r="T26" s="87">
        <v>149325.777</v>
      </c>
      <c r="U26" s="82">
        <f t="shared" si="3"/>
        <v>0</v>
      </c>
      <c r="V26" s="83"/>
      <c r="W26" s="84">
        <f t="shared" si="28"/>
        <v>1</v>
      </c>
      <c r="X26" s="85">
        <f t="shared" si="14"/>
        <v>1</v>
      </c>
      <c r="Y26" s="81">
        <f t="shared" si="15"/>
        <v>-962.554</v>
      </c>
      <c r="Z26" s="90">
        <v>0</v>
      </c>
      <c r="AA26" s="90">
        <v>-962.554</v>
      </c>
      <c r="AB26" s="90">
        <v>0</v>
      </c>
      <c r="AC26" s="90">
        <f t="shared" si="5"/>
        <v>260721.974</v>
      </c>
      <c r="AD26" s="90">
        <f t="shared" si="5"/>
        <v>200775.665</v>
      </c>
      <c r="AE26" s="90">
        <f t="shared" si="5"/>
        <v>36384.733</v>
      </c>
      <c r="AF26" s="90">
        <f t="shared" si="16"/>
        <v>23561.57599999998</v>
      </c>
      <c r="AG26" s="90">
        <f t="shared" si="26"/>
        <v>1178.078799999999</v>
      </c>
      <c r="AH26" s="90">
        <f t="shared" si="21"/>
        <v>1178.078799999999</v>
      </c>
      <c r="AI26" s="91">
        <f t="shared" si="19"/>
        <v>0</v>
      </c>
      <c r="AJ26" s="83"/>
      <c r="AK26" s="93">
        <f t="shared" si="29"/>
        <v>1.5</v>
      </c>
      <c r="AL26" s="85">
        <f t="shared" si="9"/>
        <v>1.5</v>
      </c>
      <c r="AM26" s="94">
        <v>11549.1</v>
      </c>
      <c r="AN26" s="84">
        <v>11911.4</v>
      </c>
      <c r="AO26" s="95">
        <f t="shared" si="10"/>
        <v>0.9695837600953708</v>
      </c>
      <c r="AP26" s="83"/>
      <c r="AQ26" s="93">
        <f t="shared" si="30"/>
        <v>1.5</v>
      </c>
      <c r="AR26" s="96">
        <f t="shared" si="12"/>
        <v>1.5</v>
      </c>
      <c r="AS26" s="97">
        <f t="shared" si="17"/>
        <v>6</v>
      </c>
    </row>
    <row r="27" spans="1:45" s="9" customFormat="1" ht="12.75">
      <c r="A27" s="80" t="s">
        <v>81</v>
      </c>
      <c r="B27" s="81">
        <v>0</v>
      </c>
      <c r="C27" s="81">
        <v>3366.532</v>
      </c>
      <c r="D27" s="81">
        <v>0</v>
      </c>
      <c r="E27" s="82">
        <f t="shared" si="13"/>
        <v>0</v>
      </c>
      <c r="F27" s="83"/>
      <c r="G27" s="84">
        <f t="shared" si="27"/>
        <v>1</v>
      </c>
      <c r="H27" s="85">
        <f t="shared" si="0"/>
        <v>1</v>
      </c>
      <c r="I27" s="81">
        <v>0</v>
      </c>
      <c r="J27" s="86">
        <v>273960.036</v>
      </c>
      <c r="K27" s="87">
        <v>213618.836</v>
      </c>
      <c r="L27" s="81">
        <v>39647.017</v>
      </c>
      <c r="M27" s="81">
        <v>0</v>
      </c>
      <c r="N27" s="82">
        <f t="shared" si="18"/>
        <v>0</v>
      </c>
      <c r="O27" s="83"/>
      <c r="P27" s="84">
        <f t="shared" si="31"/>
        <v>1</v>
      </c>
      <c r="Q27" s="85">
        <f t="shared" si="2"/>
        <v>1</v>
      </c>
      <c r="R27" s="89">
        <v>0</v>
      </c>
      <c r="S27" s="81">
        <v>277326.568</v>
      </c>
      <c r="T27" s="87">
        <v>146690.809</v>
      </c>
      <c r="U27" s="82">
        <f t="shared" si="3"/>
        <v>0</v>
      </c>
      <c r="V27" s="83"/>
      <c r="W27" s="84">
        <f t="shared" si="28"/>
        <v>1</v>
      </c>
      <c r="X27" s="85">
        <f t="shared" si="14"/>
        <v>1</v>
      </c>
      <c r="Y27" s="81">
        <f t="shared" si="15"/>
        <v>3366.532</v>
      </c>
      <c r="Z27" s="90">
        <v>0</v>
      </c>
      <c r="AA27" s="90">
        <v>3366.532</v>
      </c>
      <c r="AB27" s="90">
        <v>0</v>
      </c>
      <c r="AC27" s="90">
        <f t="shared" si="5"/>
        <v>273960.036</v>
      </c>
      <c r="AD27" s="90">
        <f t="shared" si="5"/>
        <v>213618.836</v>
      </c>
      <c r="AE27" s="90">
        <f t="shared" si="5"/>
        <v>39647.017</v>
      </c>
      <c r="AF27" s="90">
        <f t="shared" si="16"/>
        <v>20694.18300000001</v>
      </c>
      <c r="AG27" s="90">
        <f t="shared" si="26"/>
        <v>1034.7091500000006</v>
      </c>
      <c r="AH27" s="90">
        <f t="shared" si="21"/>
        <v>4401.241150000001</v>
      </c>
      <c r="AI27" s="91">
        <f t="shared" si="19"/>
        <v>0</v>
      </c>
      <c r="AJ27" s="83"/>
      <c r="AK27" s="93">
        <f t="shared" si="29"/>
        <v>1.5</v>
      </c>
      <c r="AL27" s="85">
        <f t="shared" si="9"/>
        <v>1.5</v>
      </c>
      <c r="AM27" s="94">
        <v>8002.1</v>
      </c>
      <c r="AN27" s="84">
        <v>10503.3</v>
      </c>
      <c r="AO27" s="95">
        <f t="shared" si="10"/>
        <v>0.7618653185189418</v>
      </c>
      <c r="AP27" s="83"/>
      <c r="AQ27" s="93">
        <f t="shared" si="30"/>
        <v>1.5</v>
      </c>
      <c r="AR27" s="96">
        <f t="shared" si="12"/>
        <v>1.5</v>
      </c>
      <c r="AS27" s="97">
        <f t="shared" si="17"/>
        <v>6</v>
      </c>
    </row>
    <row r="28" spans="1:45" s="9" customFormat="1" ht="12.75">
      <c r="A28" s="80" t="s">
        <v>82</v>
      </c>
      <c r="B28" s="81">
        <v>0</v>
      </c>
      <c r="C28" s="81">
        <v>-4423.817</v>
      </c>
      <c r="D28" s="81">
        <v>0</v>
      </c>
      <c r="E28" s="82">
        <f t="shared" si="13"/>
        <v>0</v>
      </c>
      <c r="F28" s="83"/>
      <c r="G28" s="84">
        <f t="shared" si="27"/>
        <v>1</v>
      </c>
      <c r="H28" s="85">
        <f t="shared" si="0"/>
        <v>1</v>
      </c>
      <c r="I28" s="81">
        <v>0</v>
      </c>
      <c r="J28" s="86">
        <v>187016.76468</v>
      </c>
      <c r="K28" s="87">
        <v>154776.76468</v>
      </c>
      <c r="L28" s="81">
        <v>21296.004</v>
      </c>
      <c r="M28" s="81">
        <v>0</v>
      </c>
      <c r="N28" s="82">
        <f t="shared" si="18"/>
        <v>0</v>
      </c>
      <c r="O28" s="83"/>
      <c r="P28" s="84">
        <f t="shared" si="31"/>
        <v>1</v>
      </c>
      <c r="Q28" s="85">
        <f t="shared" si="2"/>
        <v>1</v>
      </c>
      <c r="R28" s="89">
        <v>0</v>
      </c>
      <c r="S28" s="81">
        <v>182592.94768</v>
      </c>
      <c r="T28" s="87">
        <v>104167.67</v>
      </c>
      <c r="U28" s="82">
        <f t="shared" si="3"/>
        <v>0</v>
      </c>
      <c r="V28" s="83"/>
      <c r="W28" s="84">
        <f t="shared" si="28"/>
        <v>1</v>
      </c>
      <c r="X28" s="85">
        <f t="shared" si="14"/>
        <v>1</v>
      </c>
      <c r="Y28" s="81">
        <f t="shared" si="15"/>
        <v>-4423.817</v>
      </c>
      <c r="Z28" s="90">
        <v>0</v>
      </c>
      <c r="AA28" s="90">
        <v>-4423.817</v>
      </c>
      <c r="AB28" s="90">
        <v>0</v>
      </c>
      <c r="AC28" s="90">
        <f t="shared" si="5"/>
        <v>187016.76468</v>
      </c>
      <c r="AD28" s="90">
        <f t="shared" si="5"/>
        <v>154776.76468</v>
      </c>
      <c r="AE28" s="90">
        <f t="shared" si="5"/>
        <v>21296.004</v>
      </c>
      <c r="AF28" s="90">
        <f t="shared" si="16"/>
        <v>10943.996</v>
      </c>
      <c r="AG28" s="90">
        <f t="shared" si="26"/>
        <v>547.1998</v>
      </c>
      <c r="AH28" s="90">
        <f t="shared" si="21"/>
        <v>547.1998</v>
      </c>
      <c r="AI28" s="91">
        <f t="shared" si="19"/>
        <v>0</v>
      </c>
      <c r="AJ28" s="83"/>
      <c r="AK28" s="93">
        <f t="shared" si="29"/>
        <v>1.5</v>
      </c>
      <c r="AL28" s="85">
        <f t="shared" si="9"/>
        <v>1.5</v>
      </c>
      <c r="AM28" s="94">
        <v>9331.2</v>
      </c>
      <c r="AN28" s="84">
        <v>10549.7</v>
      </c>
      <c r="AO28" s="95">
        <f t="shared" si="10"/>
        <v>0.8844990852820459</v>
      </c>
      <c r="AP28" s="83"/>
      <c r="AQ28" s="93">
        <f t="shared" si="30"/>
        <v>1.5</v>
      </c>
      <c r="AR28" s="96">
        <f t="shared" si="12"/>
        <v>1.5</v>
      </c>
      <c r="AS28" s="97">
        <f t="shared" si="17"/>
        <v>6</v>
      </c>
    </row>
    <row r="29" spans="1:45" s="9" customFormat="1" ht="12.75">
      <c r="A29" s="80" t="s">
        <v>83</v>
      </c>
      <c r="B29" s="81">
        <v>0</v>
      </c>
      <c r="C29" s="81">
        <v>3176.2522599999998</v>
      </c>
      <c r="D29" s="81">
        <v>0</v>
      </c>
      <c r="E29" s="82">
        <f t="shared" si="13"/>
        <v>0</v>
      </c>
      <c r="F29" s="83"/>
      <c r="G29" s="84">
        <f t="shared" si="27"/>
        <v>1</v>
      </c>
      <c r="H29" s="85">
        <f t="shared" si="0"/>
        <v>1</v>
      </c>
      <c r="I29" s="81">
        <v>0</v>
      </c>
      <c r="J29" s="86">
        <v>252260.85887999999</v>
      </c>
      <c r="K29" s="87">
        <v>199498.85887999999</v>
      </c>
      <c r="L29" s="81">
        <v>33447.521</v>
      </c>
      <c r="M29" s="81">
        <v>0</v>
      </c>
      <c r="N29" s="82">
        <f t="shared" si="18"/>
        <v>0</v>
      </c>
      <c r="O29" s="83"/>
      <c r="P29" s="84">
        <f t="shared" si="31"/>
        <v>1</v>
      </c>
      <c r="Q29" s="85">
        <f t="shared" si="2"/>
        <v>1</v>
      </c>
      <c r="R29" s="89">
        <v>0</v>
      </c>
      <c r="S29" s="81">
        <v>255437.11114</v>
      </c>
      <c r="T29" s="87">
        <v>132082.767</v>
      </c>
      <c r="U29" s="82">
        <f t="shared" si="3"/>
        <v>0</v>
      </c>
      <c r="V29" s="83"/>
      <c r="W29" s="84">
        <f t="shared" si="28"/>
        <v>1</v>
      </c>
      <c r="X29" s="85">
        <f t="shared" si="14"/>
        <v>1</v>
      </c>
      <c r="Y29" s="81">
        <f t="shared" si="15"/>
        <v>3176.2522599999998</v>
      </c>
      <c r="Z29" s="90">
        <v>0</v>
      </c>
      <c r="AA29" s="90">
        <v>3176.2522599999998</v>
      </c>
      <c r="AB29" s="90">
        <v>0</v>
      </c>
      <c r="AC29" s="90">
        <f t="shared" si="5"/>
        <v>252260.85887999999</v>
      </c>
      <c r="AD29" s="90">
        <f t="shared" si="5"/>
        <v>199498.85887999999</v>
      </c>
      <c r="AE29" s="90">
        <f t="shared" si="5"/>
        <v>33447.521</v>
      </c>
      <c r="AF29" s="90">
        <f t="shared" si="16"/>
        <v>19314.479</v>
      </c>
      <c r="AG29" s="90">
        <f t="shared" si="26"/>
        <v>965.7239500000001</v>
      </c>
      <c r="AH29" s="90">
        <f t="shared" si="21"/>
        <v>4141.97621</v>
      </c>
      <c r="AI29" s="91">
        <f t="shared" si="19"/>
        <v>0</v>
      </c>
      <c r="AJ29" s="83"/>
      <c r="AK29" s="93">
        <f t="shared" si="29"/>
        <v>1.5</v>
      </c>
      <c r="AL29" s="85">
        <f t="shared" si="9"/>
        <v>1.5</v>
      </c>
      <c r="AM29" s="94">
        <v>10472</v>
      </c>
      <c r="AN29" s="84">
        <v>11394.1</v>
      </c>
      <c r="AO29" s="95">
        <f t="shared" si="10"/>
        <v>0.9190721513765896</v>
      </c>
      <c r="AP29" s="83"/>
      <c r="AQ29" s="93">
        <f t="shared" si="30"/>
        <v>1.5</v>
      </c>
      <c r="AR29" s="96">
        <f t="shared" si="12"/>
        <v>1.5</v>
      </c>
      <c r="AS29" s="97">
        <f t="shared" si="17"/>
        <v>6</v>
      </c>
    </row>
    <row r="30" spans="1:45" s="9" customFormat="1" ht="12.75">
      <c r="A30" s="80" t="s">
        <v>84</v>
      </c>
      <c r="B30" s="81">
        <v>0</v>
      </c>
      <c r="C30" s="81">
        <v>12739.75183</v>
      </c>
      <c r="D30" s="81">
        <v>0</v>
      </c>
      <c r="E30" s="82">
        <f t="shared" si="13"/>
        <v>0</v>
      </c>
      <c r="F30" s="83"/>
      <c r="G30" s="84">
        <f t="shared" si="27"/>
        <v>1</v>
      </c>
      <c r="H30" s="85">
        <f t="shared" si="0"/>
        <v>1</v>
      </c>
      <c r="I30" s="81">
        <v>0</v>
      </c>
      <c r="J30" s="86">
        <v>312258.9862</v>
      </c>
      <c r="K30" s="87">
        <v>233700.0862</v>
      </c>
      <c r="L30" s="81">
        <v>52428.301</v>
      </c>
      <c r="M30" s="81">
        <v>0</v>
      </c>
      <c r="N30" s="82">
        <f t="shared" si="18"/>
        <v>0</v>
      </c>
      <c r="O30" s="83"/>
      <c r="P30" s="84">
        <f>IF(N30&lt;=0.5,1,0)</f>
        <v>1</v>
      </c>
      <c r="Q30" s="85">
        <f>O30+P30</f>
        <v>1</v>
      </c>
      <c r="R30" s="89">
        <v>0</v>
      </c>
      <c r="S30" s="81">
        <v>324998.73802999995</v>
      </c>
      <c r="T30" s="87">
        <v>174237.337</v>
      </c>
      <c r="U30" s="82">
        <f t="shared" si="3"/>
        <v>0</v>
      </c>
      <c r="V30" s="83"/>
      <c r="W30" s="84">
        <f t="shared" si="28"/>
        <v>1</v>
      </c>
      <c r="X30" s="85">
        <f t="shared" si="14"/>
        <v>1</v>
      </c>
      <c r="Y30" s="81">
        <f t="shared" si="15"/>
        <v>12739.75183</v>
      </c>
      <c r="Z30" s="90">
        <v>0</v>
      </c>
      <c r="AA30" s="90">
        <v>12739.75183</v>
      </c>
      <c r="AB30" s="90">
        <v>0</v>
      </c>
      <c r="AC30" s="90">
        <f t="shared" si="5"/>
        <v>312258.9862</v>
      </c>
      <c r="AD30" s="90">
        <f t="shared" si="5"/>
        <v>233700.0862</v>
      </c>
      <c r="AE30" s="90">
        <f t="shared" si="5"/>
        <v>52428.301</v>
      </c>
      <c r="AF30" s="90">
        <f t="shared" si="16"/>
        <v>26130.598999999995</v>
      </c>
      <c r="AG30" s="90">
        <f t="shared" si="26"/>
        <v>1306.5299499999999</v>
      </c>
      <c r="AH30" s="90">
        <f t="shared" si="21"/>
        <v>14046.28178</v>
      </c>
      <c r="AI30" s="91">
        <f t="shared" si="19"/>
        <v>0</v>
      </c>
      <c r="AJ30" s="92"/>
      <c r="AK30" s="93">
        <f t="shared" si="29"/>
        <v>1.5</v>
      </c>
      <c r="AL30" s="85">
        <f t="shared" si="9"/>
        <v>1.5</v>
      </c>
      <c r="AM30" s="94">
        <v>14162.1</v>
      </c>
      <c r="AN30" s="84">
        <v>15738.5</v>
      </c>
      <c r="AO30" s="95">
        <f t="shared" si="10"/>
        <v>0.8998379769355402</v>
      </c>
      <c r="AP30" s="92"/>
      <c r="AQ30" s="93">
        <f t="shared" si="30"/>
        <v>1.5</v>
      </c>
      <c r="AR30" s="96">
        <f t="shared" si="12"/>
        <v>1.5</v>
      </c>
      <c r="AS30" s="97">
        <f t="shared" si="17"/>
        <v>6</v>
      </c>
    </row>
    <row r="31" spans="1:45" s="9" customFormat="1" ht="12.75">
      <c r="A31" s="80" t="s">
        <v>85</v>
      </c>
      <c r="B31" s="81">
        <v>0</v>
      </c>
      <c r="C31" s="81">
        <v>1121.002</v>
      </c>
      <c r="D31" s="81">
        <v>0</v>
      </c>
      <c r="E31" s="82">
        <f t="shared" si="13"/>
        <v>0</v>
      </c>
      <c r="F31" s="83"/>
      <c r="G31" s="84">
        <f t="shared" si="27"/>
        <v>1</v>
      </c>
      <c r="H31" s="85">
        <f t="shared" si="0"/>
        <v>1</v>
      </c>
      <c r="I31" s="81">
        <v>0</v>
      </c>
      <c r="J31" s="86">
        <v>218436.99876</v>
      </c>
      <c r="K31" s="87">
        <v>189169.61719999998</v>
      </c>
      <c r="L31" s="81">
        <v>18205.732</v>
      </c>
      <c r="M31" s="81">
        <v>0</v>
      </c>
      <c r="N31" s="82">
        <f t="shared" si="18"/>
        <v>0</v>
      </c>
      <c r="O31" s="83"/>
      <c r="P31" s="84">
        <f t="shared" si="31"/>
        <v>1</v>
      </c>
      <c r="Q31" s="85">
        <f t="shared" si="2"/>
        <v>1</v>
      </c>
      <c r="R31" s="89">
        <v>0</v>
      </c>
      <c r="S31" s="81">
        <v>219558.00076</v>
      </c>
      <c r="T31" s="87">
        <v>117597.969</v>
      </c>
      <c r="U31" s="82">
        <f t="shared" si="3"/>
        <v>0</v>
      </c>
      <c r="V31" s="83"/>
      <c r="W31" s="84">
        <f t="shared" si="28"/>
        <v>1</v>
      </c>
      <c r="X31" s="85">
        <f t="shared" si="14"/>
        <v>1</v>
      </c>
      <c r="Y31" s="81">
        <f t="shared" si="15"/>
        <v>1121.002</v>
      </c>
      <c r="Z31" s="90">
        <v>0</v>
      </c>
      <c r="AA31" s="90">
        <v>984.456</v>
      </c>
      <c r="AB31" s="90">
        <v>0</v>
      </c>
      <c r="AC31" s="90">
        <f t="shared" si="5"/>
        <v>218436.99876</v>
      </c>
      <c r="AD31" s="90">
        <f t="shared" si="5"/>
        <v>189169.61719999998</v>
      </c>
      <c r="AE31" s="90">
        <f t="shared" si="5"/>
        <v>18205.732</v>
      </c>
      <c r="AF31" s="90">
        <f t="shared" si="16"/>
        <v>11061.649560000009</v>
      </c>
      <c r="AG31" s="90">
        <f t="shared" si="26"/>
        <v>553.0824780000005</v>
      </c>
      <c r="AH31" s="90">
        <f t="shared" si="21"/>
        <v>1537.5384780000004</v>
      </c>
      <c r="AI31" s="91">
        <f t="shared" si="19"/>
        <v>0.012344090206379655</v>
      </c>
      <c r="AJ31" s="83"/>
      <c r="AK31" s="93">
        <f t="shared" si="29"/>
        <v>1.5</v>
      </c>
      <c r="AL31" s="85">
        <f t="shared" si="9"/>
        <v>1.5</v>
      </c>
      <c r="AM31" s="94">
        <v>6511.2</v>
      </c>
      <c r="AN31" s="84">
        <v>9659.6</v>
      </c>
      <c r="AO31" s="95">
        <f t="shared" si="10"/>
        <v>0.674065178682347</v>
      </c>
      <c r="AP31" s="83"/>
      <c r="AQ31" s="93">
        <f t="shared" si="30"/>
        <v>1.5</v>
      </c>
      <c r="AR31" s="96">
        <f t="shared" si="12"/>
        <v>1.5</v>
      </c>
      <c r="AS31" s="97">
        <f t="shared" si="17"/>
        <v>6</v>
      </c>
    </row>
    <row r="32" spans="1:45" s="9" customFormat="1" ht="12.75">
      <c r="A32" s="80" t="s">
        <v>86</v>
      </c>
      <c r="B32" s="81">
        <v>0</v>
      </c>
      <c r="C32" s="81">
        <v>5102.87397</v>
      </c>
      <c r="D32" s="81">
        <v>0</v>
      </c>
      <c r="E32" s="82">
        <f t="shared" si="13"/>
        <v>0</v>
      </c>
      <c r="F32" s="83"/>
      <c r="G32" s="84">
        <f t="shared" si="27"/>
        <v>1</v>
      </c>
      <c r="H32" s="85">
        <f t="shared" si="0"/>
        <v>1</v>
      </c>
      <c r="I32" s="81">
        <v>0</v>
      </c>
      <c r="J32" s="86">
        <v>447358.26367</v>
      </c>
      <c r="K32" s="87">
        <v>331034.26367</v>
      </c>
      <c r="L32" s="81">
        <v>82386.7</v>
      </c>
      <c r="M32" s="81">
        <v>0</v>
      </c>
      <c r="N32" s="82">
        <f t="shared" si="18"/>
        <v>0</v>
      </c>
      <c r="O32" s="83"/>
      <c r="P32" s="84">
        <f t="shared" si="31"/>
        <v>1</v>
      </c>
      <c r="Q32" s="85">
        <f t="shared" si="2"/>
        <v>1</v>
      </c>
      <c r="R32" s="89">
        <v>0</v>
      </c>
      <c r="S32" s="81">
        <v>452461.13764</v>
      </c>
      <c r="T32" s="87">
        <v>231206.296</v>
      </c>
      <c r="U32" s="82">
        <f t="shared" si="3"/>
        <v>0</v>
      </c>
      <c r="V32" s="83"/>
      <c r="W32" s="84">
        <f t="shared" si="28"/>
        <v>1</v>
      </c>
      <c r="X32" s="85">
        <f t="shared" si="14"/>
        <v>1</v>
      </c>
      <c r="Y32" s="81">
        <f t="shared" si="15"/>
        <v>5102.87397</v>
      </c>
      <c r="Z32" s="90">
        <v>0</v>
      </c>
      <c r="AA32" s="90">
        <v>5102.87397</v>
      </c>
      <c r="AB32" s="90">
        <v>0</v>
      </c>
      <c r="AC32" s="90">
        <f t="shared" si="5"/>
        <v>447358.26367</v>
      </c>
      <c r="AD32" s="90">
        <f t="shared" si="5"/>
        <v>331034.26367</v>
      </c>
      <c r="AE32" s="90">
        <f t="shared" si="5"/>
        <v>82386.7</v>
      </c>
      <c r="AF32" s="90">
        <f t="shared" si="16"/>
        <v>33937.3</v>
      </c>
      <c r="AG32" s="90">
        <f t="shared" si="26"/>
        <v>1696.8650000000002</v>
      </c>
      <c r="AH32" s="90">
        <f t="shared" si="21"/>
        <v>6799.73897</v>
      </c>
      <c r="AI32" s="91">
        <f t="shared" si="19"/>
        <v>0</v>
      </c>
      <c r="AJ32" s="83"/>
      <c r="AK32" s="93">
        <f t="shared" si="29"/>
        <v>1.5</v>
      </c>
      <c r="AL32" s="85">
        <f t="shared" si="9"/>
        <v>1.5</v>
      </c>
      <c r="AM32" s="94">
        <v>13030</v>
      </c>
      <c r="AN32" s="84">
        <v>16484.8</v>
      </c>
      <c r="AO32" s="95">
        <f>AM32/AN32</f>
        <v>0.7904251188974085</v>
      </c>
      <c r="AP32" s="83"/>
      <c r="AQ32" s="93">
        <f t="shared" si="30"/>
        <v>1.5</v>
      </c>
      <c r="AR32" s="96">
        <f t="shared" si="12"/>
        <v>1.5</v>
      </c>
      <c r="AS32" s="97">
        <f t="shared" si="17"/>
        <v>6</v>
      </c>
    </row>
    <row r="33" spans="1:46" s="9" customFormat="1" ht="12.75">
      <c r="A33" s="80" t="s">
        <v>87</v>
      </c>
      <c r="B33" s="81">
        <v>2373.838</v>
      </c>
      <c r="C33" s="81">
        <v>5729.27855</v>
      </c>
      <c r="D33" s="81">
        <v>0</v>
      </c>
      <c r="E33" s="82">
        <f>IF(AND(B33=0,D33=0),0,B33/(IF(C33&gt;0,C33,0)+D33))</f>
        <v>0.41433454130101605</v>
      </c>
      <c r="F33" s="83"/>
      <c r="G33" s="84">
        <f t="shared" si="27"/>
        <v>1</v>
      </c>
      <c r="H33" s="85">
        <f>F33+G33</f>
        <v>1</v>
      </c>
      <c r="I33" s="81">
        <v>0</v>
      </c>
      <c r="J33" s="86">
        <v>542575.69</v>
      </c>
      <c r="K33" s="87">
        <v>403634.762</v>
      </c>
      <c r="L33" s="81">
        <v>78855</v>
      </c>
      <c r="M33" s="81">
        <v>0</v>
      </c>
      <c r="N33" s="82">
        <f>(I33-M33)/(J33-K33-L33)</f>
        <v>0</v>
      </c>
      <c r="O33" s="83"/>
      <c r="P33" s="84">
        <f>IF(N33&lt;=0.5,1,0)</f>
        <v>1</v>
      </c>
      <c r="Q33" s="85">
        <f>O33+P33</f>
        <v>1</v>
      </c>
      <c r="R33" s="89">
        <v>0</v>
      </c>
      <c r="S33" s="81">
        <v>548304.96855</v>
      </c>
      <c r="T33" s="87">
        <v>308270.243</v>
      </c>
      <c r="U33" s="82">
        <f>R33/(S33-T33)</f>
        <v>0</v>
      </c>
      <c r="V33" s="83"/>
      <c r="W33" s="84">
        <f>IF(U33&lt;=0.15,1,0)</f>
        <v>1</v>
      </c>
      <c r="X33" s="85">
        <f t="shared" si="14"/>
        <v>1</v>
      </c>
      <c r="Y33" s="81">
        <f>C33</f>
        <v>5729.27855</v>
      </c>
      <c r="Z33" s="90">
        <v>0</v>
      </c>
      <c r="AA33" s="90">
        <v>3355.44055</v>
      </c>
      <c r="AB33" s="90">
        <v>2373.838</v>
      </c>
      <c r="AC33" s="90">
        <f>J33</f>
        <v>542575.69</v>
      </c>
      <c r="AD33" s="90">
        <f>K33</f>
        <v>403634.762</v>
      </c>
      <c r="AE33" s="90">
        <f>L33</f>
        <v>78855</v>
      </c>
      <c r="AF33" s="90">
        <f>AC33-AD33-AE33</f>
        <v>60085.927999999956</v>
      </c>
      <c r="AG33" s="90">
        <f t="shared" si="26"/>
        <v>3004.296399999998</v>
      </c>
      <c r="AH33" s="90">
        <f>IF(AA33&gt;0,AA33,0)+AG33+IF(AB33&gt;0,AB33,0)</f>
        <v>8733.574949999998</v>
      </c>
      <c r="AI33" s="91">
        <f>IF((Y33-IF(Z33&gt;0,Z33,0)-IF(AA33&gt;0,AA33,0)-IF(AB33&gt;0,AB33,0))/(AC33-AD33-AE33)&gt;0,(Y33-IF(Z33&gt;0,Z33,0)-IF(AA33&gt;0,AA33,0)-IF(AB33&gt;0,AB33,0))/(AC33-AD33-AE33),0)</f>
        <v>0</v>
      </c>
      <c r="AJ33" s="92"/>
      <c r="AK33" s="93">
        <f>IF(AI33&lt;=0.055,1.5,0)</f>
        <v>1.5</v>
      </c>
      <c r="AL33" s="85">
        <f>AJ33+AK33</f>
        <v>1.5</v>
      </c>
      <c r="AM33" s="94">
        <v>19091</v>
      </c>
      <c r="AN33" s="84">
        <v>19556.3</v>
      </c>
      <c r="AO33" s="95">
        <f>AM33/AN33</f>
        <v>0.9762071557503209</v>
      </c>
      <c r="AP33" s="92"/>
      <c r="AQ33" s="93">
        <f>IF(AO33&lt;=1.005,1.5,0)</f>
        <v>1.5</v>
      </c>
      <c r="AR33" s="96">
        <f>AP33+AQ33</f>
        <v>1.5</v>
      </c>
      <c r="AS33" s="97">
        <f>H33+Q33+X33+AL33+AR33</f>
        <v>6</v>
      </c>
      <c r="AT33" s="98"/>
    </row>
    <row r="34" spans="1:45" s="9" customFormat="1" ht="12.75">
      <c r="A34" s="80" t="s">
        <v>88</v>
      </c>
      <c r="B34" s="81">
        <v>0</v>
      </c>
      <c r="C34" s="81">
        <v>1418.146</v>
      </c>
      <c r="D34" s="81">
        <v>0</v>
      </c>
      <c r="E34" s="82">
        <f t="shared" si="13"/>
        <v>0</v>
      </c>
      <c r="F34" s="83"/>
      <c r="G34" s="84">
        <f t="shared" si="27"/>
        <v>1</v>
      </c>
      <c r="H34" s="85">
        <f t="shared" si="0"/>
        <v>1</v>
      </c>
      <c r="I34" s="81">
        <v>0</v>
      </c>
      <c r="J34" s="86">
        <v>113441.799</v>
      </c>
      <c r="K34" s="87">
        <v>85025.799</v>
      </c>
      <c r="L34" s="81">
        <v>18935.429</v>
      </c>
      <c r="M34" s="81">
        <v>0</v>
      </c>
      <c r="N34" s="82">
        <f t="shared" si="18"/>
        <v>0</v>
      </c>
      <c r="O34" s="83"/>
      <c r="P34" s="84">
        <f t="shared" si="31"/>
        <v>1</v>
      </c>
      <c r="Q34" s="85">
        <f t="shared" si="2"/>
        <v>1</v>
      </c>
      <c r="R34" s="89">
        <v>0</v>
      </c>
      <c r="S34" s="81">
        <v>114859.945</v>
      </c>
      <c r="T34" s="87">
        <v>61349.179</v>
      </c>
      <c r="U34" s="82">
        <f t="shared" si="3"/>
        <v>0</v>
      </c>
      <c r="V34" s="83"/>
      <c r="W34" s="84">
        <f t="shared" si="28"/>
        <v>1</v>
      </c>
      <c r="X34" s="85">
        <f t="shared" si="14"/>
        <v>1</v>
      </c>
      <c r="Y34" s="81">
        <f t="shared" si="15"/>
        <v>1418.146</v>
      </c>
      <c r="Z34" s="90">
        <v>0</v>
      </c>
      <c r="AA34" s="90">
        <v>1418.146</v>
      </c>
      <c r="AB34" s="90">
        <v>0</v>
      </c>
      <c r="AC34" s="90">
        <f t="shared" si="5"/>
        <v>113441.799</v>
      </c>
      <c r="AD34" s="90">
        <f t="shared" si="5"/>
        <v>85025.799</v>
      </c>
      <c r="AE34" s="90">
        <f t="shared" si="5"/>
        <v>18935.429</v>
      </c>
      <c r="AF34" s="90">
        <f t="shared" si="16"/>
        <v>9480.571</v>
      </c>
      <c r="AG34" s="90">
        <f t="shared" si="26"/>
        <v>474.02855</v>
      </c>
      <c r="AH34" s="90">
        <f t="shared" si="21"/>
        <v>1892.17455</v>
      </c>
      <c r="AI34" s="91">
        <f t="shared" si="19"/>
        <v>0</v>
      </c>
      <c r="AJ34" s="83"/>
      <c r="AK34" s="93">
        <f>IF(AI34&lt;=0.055,1.5,0)</f>
        <v>1.5</v>
      </c>
      <c r="AL34" s="85">
        <f t="shared" si="9"/>
        <v>1.5</v>
      </c>
      <c r="AM34" s="94">
        <v>5812.9</v>
      </c>
      <c r="AN34" s="84">
        <v>7481.6</v>
      </c>
      <c r="AO34" s="95">
        <f t="shared" si="10"/>
        <v>0.7769594739093241</v>
      </c>
      <c r="AP34" s="83"/>
      <c r="AQ34" s="93">
        <f t="shared" si="30"/>
        <v>1.5</v>
      </c>
      <c r="AR34" s="96">
        <f t="shared" si="12"/>
        <v>1.5</v>
      </c>
      <c r="AS34" s="97">
        <f t="shared" si="17"/>
        <v>6</v>
      </c>
    </row>
    <row r="35" spans="1:46" s="9" customFormat="1" ht="12.75">
      <c r="A35" s="104" t="s">
        <v>89</v>
      </c>
      <c r="B35" s="58">
        <v>0</v>
      </c>
      <c r="C35" s="58">
        <v>2157.3194</v>
      </c>
      <c r="D35" s="58">
        <v>0</v>
      </c>
      <c r="E35" s="66">
        <f>IF(AND(B35=0,D35=0),0,B35/(IF(C35&gt;0,C35,0)+D35))</f>
        <v>0</v>
      </c>
      <c r="F35" s="60">
        <f>IF(E35&lt;=1.05,1,0)</f>
        <v>1</v>
      </c>
      <c r="G35" s="73"/>
      <c r="H35" s="74">
        <f t="shared" si="0"/>
        <v>1</v>
      </c>
      <c r="I35" s="58">
        <v>0</v>
      </c>
      <c r="J35" s="64">
        <v>245641.32272</v>
      </c>
      <c r="K35" s="65">
        <v>179317.606</v>
      </c>
      <c r="L35" s="58">
        <v>35325.912</v>
      </c>
      <c r="M35" s="58">
        <v>0</v>
      </c>
      <c r="N35" s="66">
        <f t="shared" si="18"/>
        <v>0</v>
      </c>
      <c r="O35" s="60">
        <f>IF(N35&lt;=1,1,0)</f>
        <v>1</v>
      </c>
      <c r="P35" s="73"/>
      <c r="Q35" s="74">
        <f t="shared" si="2"/>
        <v>1</v>
      </c>
      <c r="R35" s="101">
        <v>0</v>
      </c>
      <c r="S35" s="58">
        <v>247798.64212</v>
      </c>
      <c r="T35" s="65">
        <v>125966.507</v>
      </c>
      <c r="U35" s="66">
        <f t="shared" si="3"/>
        <v>0</v>
      </c>
      <c r="V35" s="60">
        <f>IF(U35&lt;=0.15,1,0)</f>
        <v>1</v>
      </c>
      <c r="W35" s="73"/>
      <c r="X35" s="74">
        <f t="shared" si="14"/>
        <v>1</v>
      </c>
      <c r="Y35" s="58">
        <f t="shared" si="15"/>
        <v>2157.3194</v>
      </c>
      <c r="Z35" s="69">
        <v>0</v>
      </c>
      <c r="AA35" s="69">
        <v>2157.3194</v>
      </c>
      <c r="AB35" s="69">
        <v>0</v>
      </c>
      <c r="AC35" s="69">
        <f t="shared" si="5"/>
        <v>245641.32272</v>
      </c>
      <c r="AD35" s="69">
        <f t="shared" si="5"/>
        <v>179317.606</v>
      </c>
      <c r="AE35" s="69">
        <f t="shared" si="5"/>
        <v>35325.912</v>
      </c>
      <c r="AF35" s="69">
        <f t="shared" si="16"/>
        <v>30997.80472</v>
      </c>
      <c r="AG35" s="70">
        <f>AF35*10%</f>
        <v>3099.7804720000004</v>
      </c>
      <c r="AH35" s="69">
        <f t="shared" si="21"/>
        <v>5257.099872000001</v>
      </c>
      <c r="AI35" s="105">
        <f t="shared" si="19"/>
        <v>0</v>
      </c>
      <c r="AJ35" s="72">
        <f>IF(AI35&lt;=0.105,1.5,0)</f>
        <v>1.5</v>
      </c>
      <c r="AK35" s="106"/>
      <c r="AL35" s="74">
        <f t="shared" si="9"/>
        <v>1.5</v>
      </c>
      <c r="AM35" s="75">
        <v>10088.1</v>
      </c>
      <c r="AN35" s="73">
        <v>11010.2</v>
      </c>
      <c r="AO35" s="103">
        <f t="shared" si="10"/>
        <v>0.9162503860057037</v>
      </c>
      <c r="AP35" s="77">
        <f>IF(AO35&lt;=1.005,1.5,0)</f>
        <v>1.5</v>
      </c>
      <c r="AQ35" s="106"/>
      <c r="AR35" s="107">
        <f t="shared" si="12"/>
        <v>1.5</v>
      </c>
      <c r="AS35" s="102">
        <f t="shared" si="17"/>
        <v>6</v>
      </c>
      <c r="AT35" s="98"/>
    </row>
    <row r="36" spans="1:45" s="9" customFormat="1" ht="12.75">
      <c r="A36" s="80" t="s">
        <v>90</v>
      </c>
      <c r="B36" s="81">
        <v>0</v>
      </c>
      <c r="C36" s="81">
        <v>2551.487</v>
      </c>
      <c r="D36" s="81">
        <v>0</v>
      </c>
      <c r="E36" s="82">
        <f t="shared" si="13"/>
        <v>0</v>
      </c>
      <c r="F36" s="83"/>
      <c r="G36" s="84">
        <f t="shared" si="27"/>
        <v>1</v>
      </c>
      <c r="H36" s="85">
        <f t="shared" si="0"/>
        <v>1</v>
      </c>
      <c r="I36" s="81">
        <v>0</v>
      </c>
      <c r="J36" s="86">
        <v>308208.6263</v>
      </c>
      <c r="K36" s="87">
        <v>231775.42630000002</v>
      </c>
      <c r="L36" s="81">
        <v>41460.692</v>
      </c>
      <c r="M36" s="81">
        <v>0</v>
      </c>
      <c r="N36" s="82">
        <f t="shared" si="18"/>
        <v>0</v>
      </c>
      <c r="O36" s="83"/>
      <c r="P36" s="84">
        <f t="shared" si="31"/>
        <v>1</v>
      </c>
      <c r="Q36" s="85">
        <f t="shared" si="2"/>
        <v>1</v>
      </c>
      <c r="R36" s="89">
        <v>0</v>
      </c>
      <c r="S36" s="81">
        <v>310760.1133</v>
      </c>
      <c r="T36" s="87">
        <v>181312.631</v>
      </c>
      <c r="U36" s="82">
        <f t="shared" si="3"/>
        <v>0</v>
      </c>
      <c r="V36" s="83"/>
      <c r="W36" s="84">
        <f t="shared" si="28"/>
        <v>1</v>
      </c>
      <c r="X36" s="85">
        <f t="shared" si="14"/>
        <v>1</v>
      </c>
      <c r="Y36" s="81">
        <f t="shared" si="15"/>
        <v>2551.487</v>
      </c>
      <c r="Z36" s="90">
        <v>0</v>
      </c>
      <c r="AA36" s="90">
        <v>2551.487</v>
      </c>
      <c r="AB36" s="90">
        <v>0</v>
      </c>
      <c r="AC36" s="90">
        <f t="shared" si="5"/>
        <v>308208.6263</v>
      </c>
      <c r="AD36" s="90">
        <f t="shared" si="5"/>
        <v>231775.42630000002</v>
      </c>
      <c r="AE36" s="90">
        <f t="shared" si="5"/>
        <v>41460.692</v>
      </c>
      <c r="AF36" s="90">
        <f t="shared" si="16"/>
        <v>34972.50799999998</v>
      </c>
      <c r="AG36" s="90">
        <f t="shared" si="26"/>
        <v>1748.625399999999</v>
      </c>
      <c r="AH36" s="90">
        <f t="shared" si="21"/>
        <v>4300.112399999999</v>
      </c>
      <c r="AI36" s="91">
        <f t="shared" si="19"/>
        <v>0</v>
      </c>
      <c r="AJ36" s="83"/>
      <c r="AK36" s="93">
        <f>IF(AI36&lt;=0.055,1.5,0)</f>
        <v>1.5</v>
      </c>
      <c r="AL36" s="85">
        <f t="shared" si="9"/>
        <v>1.5</v>
      </c>
      <c r="AM36" s="94">
        <v>12574</v>
      </c>
      <c r="AN36" s="84">
        <v>14688.5</v>
      </c>
      <c r="AO36" s="95">
        <f t="shared" si="10"/>
        <v>0.8560438438233993</v>
      </c>
      <c r="AP36" s="83"/>
      <c r="AQ36" s="93">
        <f t="shared" si="30"/>
        <v>1.5</v>
      </c>
      <c r="AR36" s="96">
        <f t="shared" si="12"/>
        <v>1.5</v>
      </c>
      <c r="AS36" s="97">
        <f t="shared" si="17"/>
        <v>6</v>
      </c>
    </row>
    <row r="37" spans="1:45" s="9" customFormat="1" ht="12.75">
      <c r="A37" s="80" t="s">
        <v>91</v>
      </c>
      <c r="B37" s="81">
        <v>0</v>
      </c>
      <c r="C37" s="81">
        <v>1999.23596</v>
      </c>
      <c r="D37" s="81">
        <v>0</v>
      </c>
      <c r="E37" s="82">
        <f t="shared" si="13"/>
        <v>0</v>
      </c>
      <c r="F37" s="83"/>
      <c r="G37" s="84">
        <f t="shared" si="27"/>
        <v>1</v>
      </c>
      <c r="H37" s="85">
        <f t="shared" si="0"/>
        <v>1</v>
      </c>
      <c r="I37" s="81">
        <v>0</v>
      </c>
      <c r="J37" s="86">
        <v>216392.00493</v>
      </c>
      <c r="K37" s="87">
        <v>154204.7436</v>
      </c>
      <c r="L37" s="81">
        <v>41815.41</v>
      </c>
      <c r="M37" s="81">
        <v>0</v>
      </c>
      <c r="N37" s="82">
        <f t="shared" si="18"/>
        <v>0</v>
      </c>
      <c r="O37" s="83"/>
      <c r="P37" s="84">
        <f t="shared" si="31"/>
        <v>1</v>
      </c>
      <c r="Q37" s="85">
        <f t="shared" si="2"/>
        <v>1</v>
      </c>
      <c r="R37" s="89">
        <v>0</v>
      </c>
      <c r="S37" s="81">
        <v>218391.24089</v>
      </c>
      <c r="T37" s="87">
        <v>112196.638</v>
      </c>
      <c r="U37" s="82">
        <f t="shared" si="3"/>
        <v>0</v>
      </c>
      <c r="V37" s="83"/>
      <c r="W37" s="84">
        <f t="shared" si="28"/>
        <v>1</v>
      </c>
      <c r="X37" s="85">
        <f t="shared" si="14"/>
        <v>1</v>
      </c>
      <c r="Y37" s="81">
        <f t="shared" si="15"/>
        <v>1999.23596</v>
      </c>
      <c r="Z37" s="90">
        <v>0</v>
      </c>
      <c r="AA37" s="90">
        <v>1999.23596</v>
      </c>
      <c r="AB37" s="90">
        <v>0</v>
      </c>
      <c r="AC37" s="90">
        <f t="shared" si="5"/>
        <v>216392.00493</v>
      </c>
      <c r="AD37" s="90">
        <f t="shared" si="5"/>
        <v>154204.7436</v>
      </c>
      <c r="AE37" s="90">
        <f t="shared" si="5"/>
        <v>41815.41</v>
      </c>
      <c r="AF37" s="90">
        <f t="shared" si="16"/>
        <v>20371.851330000005</v>
      </c>
      <c r="AG37" s="90">
        <f t="shared" si="26"/>
        <v>1018.5925665000003</v>
      </c>
      <c r="AH37" s="90">
        <f t="shared" si="21"/>
        <v>3017.8285265000004</v>
      </c>
      <c r="AI37" s="91">
        <f t="shared" si="19"/>
        <v>0</v>
      </c>
      <c r="AJ37" s="83"/>
      <c r="AK37" s="93">
        <f>IF(AI37&lt;=0.055,1.5,0)</f>
        <v>1.5</v>
      </c>
      <c r="AL37" s="85">
        <f t="shared" si="9"/>
        <v>1.5</v>
      </c>
      <c r="AM37" s="94">
        <v>10786.5</v>
      </c>
      <c r="AN37" s="84">
        <v>11180.2</v>
      </c>
      <c r="AO37" s="95">
        <f t="shared" si="10"/>
        <v>0.9647859608951539</v>
      </c>
      <c r="AP37" s="83"/>
      <c r="AQ37" s="93">
        <f t="shared" si="30"/>
        <v>1.5</v>
      </c>
      <c r="AR37" s="96">
        <f t="shared" si="12"/>
        <v>1.5</v>
      </c>
      <c r="AS37" s="97">
        <f t="shared" si="17"/>
        <v>6</v>
      </c>
    </row>
    <row r="38" spans="1:45" s="9" customFormat="1" ht="12.75">
      <c r="A38" s="80" t="s">
        <v>92</v>
      </c>
      <c r="B38" s="81">
        <v>0</v>
      </c>
      <c r="C38" s="81">
        <v>6688.975</v>
      </c>
      <c r="D38" s="81">
        <v>0</v>
      </c>
      <c r="E38" s="82">
        <f t="shared" si="13"/>
        <v>0</v>
      </c>
      <c r="F38" s="83"/>
      <c r="G38" s="84">
        <f t="shared" si="27"/>
        <v>1</v>
      </c>
      <c r="H38" s="85">
        <f t="shared" si="0"/>
        <v>1</v>
      </c>
      <c r="I38" s="81">
        <v>0</v>
      </c>
      <c r="J38" s="86">
        <v>349137.47385</v>
      </c>
      <c r="K38" s="87">
        <v>266367.47385</v>
      </c>
      <c r="L38" s="81">
        <v>57313.707</v>
      </c>
      <c r="M38" s="81">
        <v>0</v>
      </c>
      <c r="N38" s="82">
        <f t="shared" si="18"/>
        <v>0</v>
      </c>
      <c r="O38" s="83"/>
      <c r="P38" s="84">
        <f t="shared" si="31"/>
        <v>1</v>
      </c>
      <c r="Q38" s="85">
        <f t="shared" si="2"/>
        <v>1</v>
      </c>
      <c r="R38" s="89">
        <v>0</v>
      </c>
      <c r="S38" s="81">
        <v>355826.44885000004</v>
      </c>
      <c r="T38" s="87">
        <v>184051.166</v>
      </c>
      <c r="U38" s="82">
        <f t="shared" si="3"/>
        <v>0</v>
      </c>
      <c r="V38" s="83"/>
      <c r="W38" s="84">
        <f t="shared" si="28"/>
        <v>1</v>
      </c>
      <c r="X38" s="85">
        <f t="shared" si="14"/>
        <v>1</v>
      </c>
      <c r="Y38" s="81">
        <f t="shared" si="15"/>
        <v>6688.975</v>
      </c>
      <c r="Z38" s="90">
        <v>0</v>
      </c>
      <c r="AA38" s="90">
        <v>6688.975</v>
      </c>
      <c r="AB38" s="90">
        <v>0</v>
      </c>
      <c r="AC38" s="90">
        <f t="shared" si="5"/>
        <v>349137.47385</v>
      </c>
      <c r="AD38" s="90">
        <f t="shared" si="5"/>
        <v>266367.47385</v>
      </c>
      <c r="AE38" s="90">
        <f t="shared" si="5"/>
        <v>57313.707</v>
      </c>
      <c r="AF38" s="90">
        <f t="shared" si="16"/>
        <v>25456.292999999998</v>
      </c>
      <c r="AG38" s="90">
        <f t="shared" si="26"/>
        <v>1272.81465</v>
      </c>
      <c r="AH38" s="90">
        <f t="shared" si="21"/>
        <v>7961.789650000001</v>
      </c>
      <c r="AI38" s="91">
        <f t="shared" si="19"/>
        <v>0</v>
      </c>
      <c r="AJ38" s="83"/>
      <c r="AK38" s="93">
        <f>IF(AI38&lt;=0.055,1.5,0)</f>
        <v>1.5</v>
      </c>
      <c r="AL38" s="85">
        <f t="shared" si="9"/>
        <v>1.5</v>
      </c>
      <c r="AM38" s="94">
        <v>15183.7</v>
      </c>
      <c r="AN38" s="84">
        <v>15567.7</v>
      </c>
      <c r="AO38" s="95">
        <f t="shared" si="10"/>
        <v>0.9753335431695113</v>
      </c>
      <c r="AP38" s="83"/>
      <c r="AQ38" s="93">
        <f>IF(AO38&lt;=1.005,1.5,0)</f>
        <v>1.5</v>
      </c>
      <c r="AR38" s="96">
        <f t="shared" si="12"/>
        <v>1.5</v>
      </c>
      <c r="AS38" s="97">
        <f t="shared" si="17"/>
        <v>6</v>
      </c>
    </row>
    <row r="39" spans="1:46" ht="12.75">
      <c r="A39" s="80" t="s">
        <v>93</v>
      </c>
      <c r="B39" s="81">
        <v>0</v>
      </c>
      <c r="C39" s="81">
        <v>1970.19</v>
      </c>
      <c r="D39" s="81">
        <v>720</v>
      </c>
      <c r="E39" s="82">
        <f t="shared" si="13"/>
        <v>0</v>
      </c>
      <c r="F39" s="83"/>
      <c r="G39" s="84">
        <f t="shared" si="27"/>
        <v>1</v>
      </c>
      <c r="H39" s="85">
        <f>F39+G39</f>
        <v>1</v>
      </c>
      <c r="I39" s="81">
        <v>5000</v>
      </c>
      <c r="J39" s="86">
        <v>543818.16678</v>
      </c>
      <c r="K39" s="87">
        <v>439497.50878</v>
      </c>
      <c r="L39" s="81">
        <v>59190.489</v>
      </c>
      <c r="M39" s="81">
        <v>0</v>
      </c>
      <c r="N39" s="82">
        <f t="shared" si="18"/>
        <v>0.11079063320148437</v>
      </c>
      <c r="O39" s="83"/>
      <c r="P39" s="84">
        <f>IF(N39&lt;=0.5,1,0)</f>
        <v>1</v>
      </c>
      <c r="Q39" s="85">
        <f>O39+P39</f>
        <v>1</v>
      </c>
      <c r="R39" s="89">
        <v>224.4</v>
      </c>
      <c r="S39" s="81">
        <v>545788.3567799999</v>
      </c>
      <c r="T39" s="87">
        <v>204095.248</v>
      </c>
      <c r="U39" s="82">
        <f t="shared" si="3"/>
        <v>0.0006567296624775673</v>
      </c>
      <c r="V39" s="83"/>
      <c r="W39" s="84">
        <f>IF(U39&lt;=0.15,1,0)</f>
        <v>1</v>
      </c>
      <c r="X39" s="85">
        <f t="shared" si="14"/>
        <v>1</v>
      </c>
      <c r="Y39" s="81">
        <f t="shared" si="15"/>
        <v>1970.19</v>
      </c>
      <c r="Z39" s="90">
        <v>0</v>
      </c>
      <c r="AA39" s="90">
        <v>2690.19</v>
      </c>
      <c r="AB39" s="90">
        <v>0</v>
      </c>
      <c r="AC39" s="90">
        <f t="shared" si="5"/>
        <v>543818.16678</v>
      </c>
      <c r="AD39" s="90">
        <f t="shared" si="5"/>
        <v>439497.50878</v>
      </c>
      <c r="AE39" s="90">
        <f t="shared" si="5"/>
        <v>59190.489</v>
      </c>
      <c r="AF39" s="90">
        <f t="shared" si="16"/>
        <v>45130.168999999994</v>
      </c>
      <c r="AG39" s="90">
        <f t="shared" si="26"/>
        <v>2256.50845</v>
      </c>
      <c r="AH39" s="90">
        <f t="shared" si="21"/>
        <v>4946.69845</v>
      </c>
      <c r="AI39" s="91">
        <f t="shared" si="19"/>
        <v>0</v>
      </c>
      <c r="AJ39" s="92"/>
      <c r="AK39" s="93">
        <f>IF(AI39&lt;=0.055,1.5,0)</f>
        <v>1.5</v>
      </c>
      <c r="AL39" s="85">
        <f t="shared" si="9"/>
        <v>1.5</v>
      </c>
      <c r="AM39" s="94">
        <v>14473.2</v>
      </c>
      <c r="AN39" s="84">
        <v>18162.7</v>
      </c>
      <c r="AO39" s="95">
        <f t="shared" si="10"/>
        <v>0.7968639023933667</v>
      </c>
      <c r="AP39" s="92"/>
      <c r="AQ39" s="93">
        <f>IF(AO39&lt;=1.005,1.5,0)</f>
        <v>1.5</v>
      </c>
      <c r="AR39" s="96">
        <f t="shared" si="12"/>
        <v>1.5</v>
      </c>
      <c r="AS39" s="97">
        <f t="shared" si="17"/>
        <v>6</v>
      </c>
      <c r="AT39" s="98"/>
    </row>
    <row r="40" spans="1:45" ht="12.75">
      <c r="A40" s="108" t="s">
        <v>94</v>
      </c>
      <c r="B40" s="109">
        <v>0</v>
      </c>
      <c r="C40" s="109">
        <v>4931.4</v>
      </c>
      <c r="D40" s="109">
        <v>1940</v>
      </c>
      <c r="E40" s="59">
        <f t="shared" si="13"/>
        <v>0</v>
      </c>
      <c r="F40" s="60">
        <f>IF(E40&lt;=1.05,1,0)</f>
        <v>1</v>
      </c>
      <c r="G40" s="61"/>
      <c r="H40" s="62">
        <f t="shared" si="0"/>
        <v>1</v>
      </c>
      <c r="I40" s="109">
        <v>0</v>
      </c>
      <c r="J40" s="110">
        <v>479669.2248</v>
      </c>
      <c r="K40" s="65">
        <v>322455.2248</v>
      </c>
      <c r="L40" s="109">
        <v>92149.283</v>
      </c>
      <c r="M40" s="109">
        <v>0</v>
      </c>
      <c r="N40" s="59">
        <f t="shared" si="18"/>
        <v>0</v>
      </c>
      <c r="O40" s="60">
        <f>IF(N40&lt;=1,1,0)</f>
        <v>1</v>
      </c>
      <c r="P40" s="61"/>
      <c r="Q40" s="62">
        <f t="shared" si="2"/>
        <v>1</v>
      </c>
      <c r="R40" s="111">
        <v>43.3</v>
      </c>
      <c r="S40" s="109">
        <v>484600.6248</v>
      </c>
      <c r="T40" s="65">
        <v>263454.547</v>
      </c>
      <c r="U40" s="59">
        <f t="shared" si="3"/>
        <v>0.0001957981820467087</v>
      </c>
      <c r="V40" s="60">
        <f>IF(U40&lt;=0.15,1,0)</f>
        <v>1</v>
      </c>
      <c r="W40" s="61"/>
      <c r="X40" s="62">
        <f t="shared" si="14"/>
        <v>1</v>
      </c>
      <c r="Y40" s="109">
        <f t="shared" si="15"/>
        <v>4931.4</v>
      </c>
      <c r="Z40" s="70">
        <v>0</v>
      </c>
      <c r="AA40" s="70">
        <v>6871.4</v>
      </c>
      <c r="AB40" s="70">
        <v>0</v>
      </c>
      <c r="AC40" s="70">
        <f t="shared" si="5"/>
        <v>479669.2248</v>
      </c>
      <c r="AD40" s="70">
        <f t="shared" si="5"/>
        <v>322455.2248</v>
      </c>
      <c r="AE40" s="70">
        <f t="shared" si="5"/>
        <v>92149.283</v>
      </c>
      <c r="AF40" s="70">
        <f t="shared" si="16"/>
        <v>65064.717000000004</v>
      </c>
      <c r="AG40" s="70">
        <f>AF40*10%</f>
        <v>6506.471700000001</v>
      </c>
      <c r="AH40" s="70">
        <f t="shared" si="21"/>
        <v>13377.8717</v>
      </c>
      <c r="AI40" s="71">
        <f t="shared" si="19"/>
        <v>0</v>
      </c>
      <c r="AJ40" s="77">
        <f>IF(AI40&lt;=0.105,1.5,0)</f>
        <v>1.5</v>
      </c>
      <c r="AK40" s="61"/>
      <c r="AL40" s="62">
        <f t="shared" si="9"/>
        <v>1.5</v>
      </c>
      <c r="AM40" s="112">
        <v>17796.7</v>
      </c>
      <c r="AN40" s="61">
        <v>19829.5</v>
      </c>
      <c r="AO40" s="76">
        <f t="shared" si="10"/>
        <v>0.8974860687359743</v>
      </c>
      <c r="AP40" s="77">
        <f>IF(AO40&lt;=1.005,1.5,0)</f>
        <v>1.5</v>
      </c>
      <c r="AQ40" s="61"/>
      <c r="AR40" s="78">
        <f t="shared" si="12"/>
        <v>1.5</v>
      </c>
      <c r="AS40" s="79">
        <f t="shared" si="17"/>
        <v>6</v>
      </c>
    </row>
    <row r="41" spans="1:45" ht="12.75">
      <c r="A41" s="99" t="s">
        <v>95</v>
      </c>
      <c r="B41" s="109">
        <v>35400</v>
      </c>
      <c r="C41" s="109">
        <v>5353.014480000001</v>
      </c>
      <c r="D41" s="109">
        <v>34400</v>
      </c>
      <c r="E41" s="66">
        <f t="shared" si="13"/>
        <v>0.8904985059135572</v>
      </c>
      <c r="F41" s="60">
        <f>IF(E41&lt;=1.05,1,0)</f>
        <v>1</v>
      </c>
      <c r="G41" s="61"/>
      <c r="H41" s="62">
        <f t="shared" si="0"/>
        <v>1</v>
      </c>
      <c r="I41" s="109">
        <v>31400</v>
      </c>
      <c r="J41" s="110">
        <v>178960.693</v>
      </c>
      <c r="K41" s="65">
        <v>102562.843</v>
      </c>
      <c r="L41" s="109">
        <v>33627.334</v>
      </c>
      <c r="M41" s="109">
        <v>9913</v>
      </c>
      <c r="N41" s="66">
        <f t="shared" si="18"/>
        <v>0.5023787882287882</v>
      </c>
      <c r="O41" s="60">
        <f>IF(N41&lt;=1,1,0)</f>
        <v>1</v>
      </c>
      <c r="P41" s="61"/>
      <c r="Q41" s="62">
        <f t="shared" si="2"/>
        <v>1</v>
      </c>
      <c r="R41" s="111">
        <v>1383.4</v>
      </c>
      <c r="S41" s="109">
        <v>184313.70747999998</v>
      </c>
      <c r="T41" s="65">
        <v>67129.231</v>
      </c>
      <c r="U41" s="59">
        <f t="shared" si="3"/>
        <v>0.011805317918846587</v>
      </c>
      <c r="V41" s="60">
        <f>IF(U41&lt;=0.15,1,0)</f>
        <v>1</v>
      </c>
      <c r="W41" s="61"/>
      <c r="X41" s="62">
        <f t="shared" si="14"/>
        <v>1</v>
      </c>
      <c r="Y41" s="109">
        <f t="shared" si="15"/>
        <v>5353.014480000001</v>
      </c>
      <c r="Z41" s="70">
        <v>0</v>
      </c>
      <c r="AA41" s="70">
        <v>4353.014480000001</v>
      </c>
      <c r="AB41" s="70">
        <v>9913</v>
      </c>
      <c r="AC41" s="70">
        <f t="shared" si="5"/>
        <v>178960.693</v>
      </c>
      <c r="AD41" s="70">
        <f t="shared" si="5"/>
        <v>102562.843</v>
      </c>
      <c r="AE41" s="70">
        <f t="shared" si="5"/>
        <v>33627.334</v>
      </c>
      <c r="AF41" s="70">
        <f t="shared" si="16"/>
        <v>42770.516</v>
      </c>
      <c r="AG41" s="70">
        <f>AF41*10%</f>
        <v>4277.051600000001</v>
      </c>
      <c r="AH41" s="70">
        <f t="shared" si="21"/>
        <v>18543.06608</v>
      </c>
      <c r="AI41" s="113">
        <f t="shared" si="19"/>
        <v>0</v>
      </c>
      <c r="AJ41" s="77">
        <f>IF(AI41&lt;=0.105,1.5,0)</f>
        <v>1.5</v>
      </c>
      <c r="AK41" s="61"/>
      <c r="AL41" s="62">
        <f t="shared" si="9"/>
        <v>1.5</v>
      </c>
      <c r="AM41" s="112">
        <v>8663</v>
      </c>
      <c r="AN41" s="61">
        <v>9378.4</v>
      </c>
      <c r="AO41" s="76">
        <f t="shared" si="10"/>
        <v>0.9237183314851147</v>
      </c>
      <c r="AP41" s="77">
        <f>IF(AO41&lt;=1.005,1.5,0)</f>
        <v>1.5</v>
      </c>
      <c r="AQ41" s="61"/>
      <c r="AR41" s="78">
        <f t="shared" si="12"/>
        <v>1.5</v>
      </c>
      <c r="AS41" s="114">
        <f t="shared" si="17"/>
        <v>6</v>
      </c>
    </row>
    <row r="42" spans="1:45" ht="13.5" thickBot="1">
      <c r="A42" s="99" t="s">
        <v>96</v>
      </c>
      <c r="B42" s="109">
        <v>2927.18</v>
      </c>
      <c r="C42" s="109">
        <v>22362.66389</v>
      </c>
      <c r="D42" s="109">
        <v>9990</v>
      </c>
      <c r="E42" s="59">
        <f t="shared" si="13"/>
        <v>0.09047724817815612</v>
      </c>
      <c r="F42" s="60">
        <f>IF(E42&lt;=1.05,1,0)</f>
        <v>1</v>
      </c>
      <c r="G42" s="61"/>
      <c r="H42" s="62">
        <f t="shared" si="0"/>
        <v>1</v>
      </c>
      <c r="I42" s="109">
        <v>27490</v>
      </c>
      <c r="J42" s="110">
        <v>252925.84623</v>
      </c>
      <c r="K42" s="65">
        <v>149818.11622999999</v>
      </c>
      <c r="L42" s="109">
        <v>39872.079</v>
      </c>
      <c r="M42" s="109">
        <v>2927.2</v>
      </c>
      <c r="N42" s="59">
        <f>(I42-M42)/(J42-K42-L42)</f>
        <v>0.3884327845379499</v>
      </c>
      <c r="O42" s="60">
        <f>IF(N42&lt;=1,1,0)</f>
        <v>1</v>
      </c>
      <c r="P42" s="61"/>
      <c r="Q42" s="62">
        <f t="shared" si="2"/>
        <v>1</v>
      </c>
      <c r="R42" s="115">
        <v>1574.8</v>
      </c>
      <c r="S42" s="109">
        <v>275288.51012</v>
      </c>
      <c r="T42" s="65">
        <v>107119.684</v>
      </c>
      <c r="U42" s="59">
        <f t="shared" si="3"/>
        <v>0.00936439907641546</v>
      </c>
      <c r="V42" s="60">
        <f>IF(U42&lt;=0.15,1,0)</f>
        <v>1</v>
      </c>
      <c r="W42" s="61"/>
      <c r="X42" s="62">
        <f t="shared" si="14"/>
        <v>1</v>
      </c>
      <c r="Y42" s="109">
        <f t="shared" si="15"/>
        <v>22362.66389</v>
      </c>
      <c r="Z42" s="70">
        <v>0</v>
      </c>
      <c r="AA42" s="70">
        <v>29425.48389</v>
      </c>
      <c r="AB42" s="70">
        <v>0</v>
      </c>
      <c r="AC42" s="70">
        <f t="shared" si="5"/>
        <v>252925.84623</v>
      </c>
      <c r="AD42" s="70">
        <f t="shared" si="5"/>
        <v>149818.11622999999</v>
      </c>
      <c r="AE42" s="70">
        <f t="shared" si="5"/>
        <v>39872.079</v>
      </c>
      <c r="AF42" s="70">
        <f t="shared" si="16"/>
        <v>63235.65100000001</v>
      </c>
      <c r="AG42" s="70">
        <f>AF42*10%</f>
        <v>6323.565100000002</v>
      </c>
      <c r="AH42" s="70">
        <f t="shared" si="21"/>
        <v>35749.04899</v>
      </c>
      <c r="AI42" s="105">
        <f t="shared" si="19"/>
        <v>0</v>
      </c>
      <c r="AJ42" s="77">
        <f>IF(AI42&lt;=0.105,1.5,0)</f>
        <v>1.5</v>
      </c>
      <c r="AK42" s="61"/>
      <c r="AL42" s="62">
        <f t="shared" si="9"/>
        <v>1.5</v>
      </c>
      <c r="AM42" s="112">
        <v>6938</v>
      </c>
      <c r="AN42" s="61">
        <v>7670.5</v>
      </c>
      <c r="AO42" s="76">
        <f t="shared" si="10"/>
        <v>0.9045042696043283</v>
      </c>
      <c r="AP42" s="77">
        <f>IF(AO42&lt;=1.005,1.5,0)</f>
        <v>1.5</v>
      </c>
      <c r="AQ42" s="61"/>
      <c r="AR42" s="78">
        <f t="shared" si="12"/>
        <v>1.5</v>
      </c>
      <c r="AS42" s="102">
        <f t="shared" si="17"/>
        <v>6</v>
      </c>
    </row>
    <row r="43" spans="1:52" ht="14.25" thickBot="1" thickTop="1">
      <c r="A43" s="116" t="s">
        <v>97</v>
      </c>
      <c r="B43" s="117">
        <f>SUM(B10:B42)</f>
        <v>1944862.16848</v>
      </c>
      <c r="C43" s="117">
        <f>SUM(C10:C42)</f>
        <v>557291.1645800001</v>
      </c>
      <c r="D43" s="117">
        <f>SUM(D10:D42)</f>
        <v>1833988.34566</v>
      </c>
      <c r="E43" s="118"/>
      <c r="F43" s="118"/>
      <c r="G43" s="118"/>
      <c r="H43" s="119"/>
      <c r="I43" s="118">
        <f>SUM(I10:I42)</f>
        <v>2397841.2</v>
      </c>
      <c r="J43" s="118">
        <f>SUM(J10:J42)</f>
        <v>17200497.60593</v>
      </c>
      <c r="K43" s="118">
        <f>SUM(K10:K42)</f>
        <v>11108282.916070001</v>
      </c>
      <c r="L43" s="118">
        <f>SUM(L10:L42)</f>
        <v>1827783.659</v>
      </c>
      <c r="M43" s="118">
        <f>SUM(M10:M42)</f>
        <v>115089.2</v>
      </c>
      <c r="N43" s="118"/>
      <c r="O43" s="118"/>
      <c r="P43" s="118"/>
      <c r="Q43" s="119"/>
      <c r="R43" s="120">
        <f>SUM(R10:R42)</f>
        <v>114573.9</v>
      </c>
      <c r="S43" s="118">
        <f>SUM(S10:S42)</f>
        <v>17757788.770509996</v>
      </c>
      <c r="T43" s="118">
        <f>SUM(T10:T42)</f>
        <v>7874126.7515</v>
      </c>
      <c r="U43" s="118"/>
      <c r="V43" s="118"/>
      <c r="W43" s="118"/>
      <c r="X43" s="119"/>
      <c r="Y43" s="121">
        <f aca="true" t="shared" si="32" ref="Y43:AE43">SUM(Y10:Y42)</f>
        <v>557291.1645800001</v>
      </c>
      <c r="Z43" s="122">
        <f t="shared" si="32"/>
        <v>17220</v>
      </c>
      <c r="AA43" s="122">
        <f t="shared" si="32"/>
        <v>428991.56332</v>
      </c>
      <c r="AB43" s="122">
        <f t="shared" si="32"/>
        <v>12286.838</v>
      </c>
      <c r="AC43" s="122">
        <f t="shared" si="32"/>
        <v>17200497.60593</v>
      </c>
      <c r="AD43" s="122">
        <f t="shared" si="32"/>
        <v>11108282.916070001</v>
      </c>
      <c r="AE43" s="122">
        <f t="shared" si="32"/>
        <v>1827783.659</v>
      </c>
      <c r="AF43" s="121"/>
      <c r="AG43" s="121"/>
      <c r="AH43" s="121"/>
      <c r="AI43" s="118"/>
      <c r="AJ43" s="118"/>
      <c r="AK43" s="118"/>
      <c r="AL43" s="118"/>
      <c r="AM43" s="122">
        <f>SUM(AM10:AM42)</f>
        <v>654630.0999999999</v>
      </c>
      <c r="AN43" s="122">
        <f>SUM(AN10:AN42)</f>
        <v>730247.7999999998</v>
      </c>
      <c r="AO43" s="118"/>
      <c r="AP43" s="118"/>
      <c r="AQ43" s="118"/>
      <c r="AR43" s="118"/>
      <c r="AS43" s="123"/>
      <c r="AU43" s="124"/>
      <c r="AV43" s="125">
        <f>SUM(AV10:AV42)</f>
        <v>0</v>
      </c>
      <c r="AW43" s="125">
        <f>SUM(AW10:AW42)</f>
        <v>0</v>
      </c>
      <c r="AX43" s="125">
        <f>SUM(AX10:AX42)</f>
        <v>0</v>
      </c>
      <c r="AY43" s="125">
        <f>SUM(AY10:AY42)</f>
        <v>0</v>
      </c>
      <c r="AZ43" s="125">
        <f>SUM(AZ10:AZ42)</f>
        <v>0</v>
      </c>
    </row>
    <row r="44" spans="10:52" ht="13.5" thickTop="1">
      <c r="J44" s="126">
        <f>J39-K39-L39</f>
        <v>45130.168999999994</v>
      </c>
      <c r="AU44" s="10" t="s">
        <v>98</v>
      </c>
      <c r="AV44" s="10">
        <f>AV10+AV12+AV13+AV14+AV41+AV42</f>
        <v>0</v>
      </c>
      <c r="AW44" s="10">
        <f>AW10+AW12+AW13+AW14+AW41+AW42</f>
        <v>0</v>
      </c>
      <c r="AX44" s="10">
        <f>AX10+AX12+AX13+AX14+AX41+AX42</f>
        <v>0</v>
      </c>
      <c r="AY44" s="10">
        <f>AY10+AY12+AY13+AY14+AY41+AY42</f>
        <v>0</v>
      </c>
      <c r="AZ44" s="10">
        <f>AZ10+AZ12+AZ13+AZ14+AZ41+AZ42</f>
        <v>0</v>
      </c>
    </row>
    <row r="45" spans="47:52" ht="12.75">
      <c r="AU45" s="10" t="s">
        <v>99</v>
      </c>
      <c r="AV45" s="10">
        <f>AV43-AV44</f>
        <v>0</v>
      </c>
      <c r="AW45" s="10">
        <f>AW43-AW44</f>
        <v>0</v>
      </c>
      <c r="AX45" s="10">
        <f>AX43-AX44</f>
        <v>0</v>
      </c>
      <c r="AY45" s="10">
        <f>AY43-AY44</f>
        <v>0</v>
      </c>
      <c r="AZ45" s="10">
        <f>AZ43-AZ44</f>
        <v>0</v>
      </c>
    </row>
  </sheetData>
  <sheetProtection/>
  <mergeCells count="12">
    <mergeCell ref="AM4:AR4"/>
    <mergeCell ref="B5:D5"/>
    <mergeCell ref="I5:K5"/>
    <mergeCell ref="R5:T5"/>
    <mergeCell ref="Y5:AA5"/>
    <mergeCell ref="AM5:AN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2015-07-17T12:56:00Z</dcterms:created>
  <dcterms:modified xsi:type="dcterms:W3CDTF">2015-07-17T12:58:19Z</dcterms:modified>
  <cp:category/>
  <cp:version/>
  <cp:contentType/>
  <cp:contentStatus/>
</cp:coreProperties>
</file>