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за год" sheetId="1" r:id="rId1"/>
  </sheets>
  <definedNames/>
  <calcPr fullCalcOnLoad="1"/>
</workbook>
</file>

<file path=xl/sharedStrings.xml><?xml version="1.0" encoding="utf-8"?>
<sst xmlns="http://schemas.openxmlformats.org/spreadsheetml/2006/main" count="142" uniqueCount="105">
  <si>
    <t>Мониторинг соблюдения органами местного самоуправления городских округов и муниципальных районов области требований бюджетного законодательства и оценки качества организации и осуществления бюджетного процесса за 2018 год (по состоянию на 01.01.2019)</t>
  </si>
  <si>
    <t>тыс.руб.</t>
  </si>
  <si>
    <t>P1</t>
  </si>
  <si>
    <t>P2</t>
  </si>
  <si>
    <t>P3</t>
  </si>
  <si>
    <t>P4</t>
  </si>
  <si>
    <t>P5.1</t>
  </si>
  <si>
    <t>P5.2</t>
  </si>
  <si>
    <r>
      <t xml:space="preserve">Объем заимствований муниципального образования в </t>
    </r>
    <r>
      <rPr>
        <b/>
        <sz val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</si>
  <si>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</si>
  <si>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</si>
  <si>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</si>
  <si>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</si>
  <si>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</si>
  <si>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Удельный вес индикатора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</si>
  <si>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</si>
  <si>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</si>
  <si>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</si>
  <si>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</si>
  <si>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</si>
  <si>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</si>
  <si>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</si>
  <si>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</si>
  <si>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</si>
  <si>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</si>
  <si>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</si>
  <si>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</si>
  <si>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</si>
  <si>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</si>
  <si>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</si>
  <si>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</si>
  <si>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</si>
  <si>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</si>
  <si>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</si>
  <si>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</si>
  <si>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</si>
  <si>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</si>
  <si>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</si>
  <si>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</si>
  <si>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</si>
  <si>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</si>
  <si>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</si>
  <si>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Итоговое значение</t>
  </si>
  <si>
    <t>Дотации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</si>
  <si>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</si>
  <si>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</si>
  <si>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</si>
  <si>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</si>
  <si>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</si>
  <si>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</si>
  <si>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</si>
  <si>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</si>
  <si>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</si>
  <si>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</si>
  <si>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</si>
  <si>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</si>
  <si>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</si>
  <si>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</si>
  <si>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</si>
  <si>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</si>
  <si>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</si>
  <si>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Доля</t>
  </si>
  <si>
    <t>если -, то 0</t>
  </si>
  <si>
    <t>дотаций</t>
  </si>
  <si>
    <t>до 4,9%</t>
  </si>
  <si>
    <t>от 5 до 19,9</t>
  </si>
  <si>
    <t>от 20 до 49,9</t>
  </si>
  <si>
    <t xml:space="preserve">от 50 до 89,9 </t>
  </si>
  <si>
    <t>свыше 90</t>
  </si>
  <si>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</si>
  <si>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</si>
  <si>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</si>
  <si>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</si>
  <si>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</si>
  <si>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</si>
  <si>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</si>
  <si>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</si>
  <si>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</si>
  <si>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</si>
  <si>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</si>
  <si>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</si>
  <si>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</si>
  <si>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</si>
  <si>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</si>
  <si>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</si>
  <si>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</si>
  <si>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</si>
  <si>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</si>
  <si>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</si>
  <si>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</si>
  <si>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</si>
  <si>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</si>
  <si>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</si>
  <si>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</si>
  <si>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</si>
  <si>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</si>
  <si>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</si>
  <si>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</si>
  <si>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</si>
  <si>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</si>
  <si>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</si>
  <si>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</si>
  <si>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</si>
  <si>
    <t>ГО</t>
  </si>
  <si>
    <t>МР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</si>
</sst>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_-* #,##0_р_._-;\-* #,##0_р_._-;_-* &quot;-&quot;??_р_._-;_-@_-"/>
    <numFmt numFmtId="167" formatCode="_-* #,##0.0_р_._-;\-* #,##0.0_р_._-;_-* &quot;-&quot;??_р_._-;_-@_-"/>
    <numFmt numFmtId="168" formatCode="#,##0.0"/>
    <numFmt numFmtId="169" formatCode="#,##0_ ;[Red]\-#,##0\ "/>
    <numFmt numFmtId="170" formatCode="0.000"/>
    <numFmt numFmtId="171" formatCode="0.0000"/>
    <numFmt numFmtId="172" formatCode="0.0_ ;[Red]\-0.0\ "/>
    <numFmt numFmtId="173" formatCode="0.0"/>
    <numFmt numFmtId="174" formatCode="0.0%"/>
    <numFmt numFmtId="175" formatCode="#,##0.0000_ ;[Red]\-#,##0.00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i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2" fillId="37" borderId="17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34" borderId="0" xfId="0" applyFill="1" applyAlignment="1">
      <alignment horizontal="center"/>
    </xf>
    <xf numFmtId="0" fontId="11" fillId="41" borderId="26" xfId="0" applyFont="1" applyFill="1" applyBorder="1" applyAlignment="1">
      <alignment horizontal="center"/>
    </xf>
    <xf numFmtId="0" fontId="11" fillId="41" borderId="21" xfId="0" applyFont="1" applyFill="1" applyBorder="1" applyAlignment="1">
      <alignment horizontal="center"/>
    </xf>
    <xf numFmtId="0" fontId="11" fillId="41" borderId="22" xfId="0" applyFont="1" applyFill="1" applyBorder="1" applyAlignment="1">
      <alignment horizontal="center"/>
    </xf>
    <xf numFmtId="0" fontId="11" fillId="41" borderId="27" xfId="0" applyFont="1" applyFill="1" applyBorder="1" applyAlignment="1">
      <alignment horizontal="center"/>
    </xf>
    <xf numFmtId="0" fontId="11" fillId="41" borderId="28" xfId="0" applyFont="1" applyFill="1" applyBorder="1" applyAlignment="1">
      <alignment horizontal="center"/>
    </xf>
    <xf numFmtId="0" fontId="7" fillId="41" borderId="21" xfId="0" applyFont="1" applyFill="1" applyBorder="1" applyAlignment="1">
      <alignment horizontal="center"/>
    </xf>
    <xf numFmtId="0" fontId="11" fillId="41" borderId="23" xfId="0" applyFont="1" applyFill="1" applyBorder="1" applyAlignment="1">
      <alignment horizontal="center"/>
    </xf>
    <xf numFmtId="0" fontId="11" fillId="41" borderId="0" xfId="0" applyFont="1" applyFill="1" applyBorder="1" applyAlignment="1">
      <alignment horizontal="center"/>
    </xf>
    <xf numFmtId="17" fontId="0" fillId="34" borderId="0" xfId="0" applyNumberFormat="1" applyFill="1" applyAlignment="1">
      <alignment/>
    </xf>
    <xf numFmtId="0" fontId="2" fillId="0" borderId="29" xfId="0" applyFont="1" applyBorder="1" applyAlignment="1">
      <alignment/>
    </xf>
    <xf numFmtId="165" fontId="2" fillId="0" borderId="30" xfId="58" applyNumberFormat="1" applyFont="1" applyFill="1" applyBorder="1" applyAlignment="1">
      <alignment/>
    </xf>
    <xf numFmtId="164" fontId="7" fillId="0" borderId="30" xfId="58" applyNumberFormat="1" applyFont="1" applyBorder="1" applyAlignment="1">
      <alignment/>
    </xf>
    <xf numFmtId="166" fontId="2" fillId="0" borderId="31" xfId="58" applyNumberFormat="1" applyFont="1" applyBorder="1" applyAlignment="1">
      <alignment/>
    </xf>
    <xf numFmtId="166" fontId="2" fillId="0" borderId="11" xfId="58" applyNumberFormat="1" applyFont="1" applyBorder="1" applyAlignment="1">
      <alignment/>
    </xf>
    <xf numFmtId="167" fontId="7" fillId="0" borderId="32" xfId="58" applyNumberFormat="1" applyFont="1" applyBorder="1" applyAlignment="1">
      <alignment/>
    </xf>
    <xf numFmtId="165" fontId="2" fillId="34" borderId="30" xfId="58" applyNumberFormat="1" applyFont="1" applyFill="1" applyBorder="1" applyAlignment="1">
      <alignment/>
    </xf>
    <xf numFmtId="168" fontId="2" fillId="0" borderId="31" xfId="58" applyNumberFormat="1" applyFont="1" applyFill="1" applyBorder="1" applyAlignment="1">
      <alignment/>
    </xf>
    <xf numFmtId="164" fontId="7" fillId="0" borderId="30" xfId="58" applyNumberFormat="1" applyFont="1" applyFill="1" applyBorder="1" applyAlignment="1">
      <alignment/>
    </xf>
    <xf numFmtId="165" fontId="2" fillId="0" borderId="33" xfId="58" applyNumberFormat="1" applyFont="1" applyFill="1" applyBorder="1" applyAlignment="1">
      <alignment/>
    </xf>
    <xf numFmtId="169" fontId="2" fillId="0" borderId="11" xfId="58" applyNumberFormat="1" applyFont="1" applyFill="1" applyBorder="1" applyAlignment="1">
      <alignment/>
    </xf>
    <xf numFmtId="165" fontId="2" fillId="0" borderId="11" xfId="58" applyNumberFormat="1" applyFont="1" applyFill="1" applyBorder="1" applyAlignment="1">
      <alignment/>
    </xf>
    <xf numFmtId="165" fontId="2" fillId="0" borderId="11" xfId="58" applyNumberFormat="1" applyFont="1" applyBorder="1" applyAlignment="1">
      <alignment/>
    </xf>
    <xf numFmtId="170" fontId="7" fillId="0" borderId="11" xfId="58" applyNumberFormat="1" applyFont="1" applyBorder="1" applyAlignment="1">
      <alignment/>
    </xf>
    <xf numFmtId="167" fontId="2" fillId="0" borderId="31" xfId="58" applyNumberFormat="1" applyFont="1" applyFill="1" applyBorder="1" applyAlignment="1">
      <alignment/>
    </xf>
    <xf numFmtId="166" fontId="2" fillId="0" borderId="11" xfId="58" applyNumberFormat="1" applyFont="1" applyFill="1" applyBorder="1" applyAlignment="1">
      <alignment/>
    </xf>
    <xf numFmtId="167" fontId="7" fillId="0" borderId="32" xfId="58" applyNumberFormat="1" applyFont="1" applyFill="1" applyBorder="1" applyAlignment="1">
      <alignment/>
    </xf>
    <xf numFmtId="166" fontId="2" fillId="0" borderId="34" xfId="58" applyNumberFormat="1" applyFont="1" applyFill="1" applyBorder="1" applyAlignment="1">
      <alignment/>
    </xf>
    <xf numFmtId="171" fontId="7" fillId="0" borderId="11" xfId="58" applyNumberFormat="1" applyFont="1" applyBorder="1" applyAlignment="1">
      <alignment/>
    </xf>
    <xf numFmtId="167" fontId="2" fillId="0" borderId="31" xfId="58" applyNumberFormat="1" applyFont="1" applyBorder="1" applyAlignment="1">
      <alignment/>
    </xf>
    <xf numFmtId="172" fontId="7" fillId="0" borderId="11" xfId="58" applyNumberFormat="1" applyFont="1" applyBorder="1" applyAlignment="1">
      <alignment/>
    </xf>
    <xf numFmtId="167" fontId="7" fillId="0" borderId="35" xfId="58" applyNumberFormat="1" applyFont="1" applyBorder="1" applyAlignment="1">
      <alignment/>
    </xf>
    <xf numFmtId="167" fontId="7" fillId="0" borderId="0" xfId="58" applyNumberFormat="1" applyFont="1" applyBorder="1" applyAlignment="1">
      <alignment/>
    </xf>
    <xf numFmtId="173" fontId="2" fillId="0" borderId="0" xfId="0" applyNumberFormat="1" applyFont="1" applyAlignment="1">
      <alignment/>
    </xf>
    <xf numFmtId="174" fontId="3" fillId="34" borderId="0" xfId="55" applyNumberFormat="1" applyFont="1" applyFill="1" applyAlignment="1">
      <alignment/>
    </xf>
    <xf numFmtId="0" fontId="7" fillId="0" borderId="0" xfId="0" applyFont="1" applyAlignment="1">
      <alignment/>
    </xf>
    <xf numFmtId="0" fontId="2" fillId="42" borderId="36" xfId="0" applyFont="1" applyFill="1" applyBorder="1" applyAlignment="1">
      <alignment/>
    </xf>
    <xf numFmtId="165" fontId="2" fillId="42" borderId="30" xfId="58" applyNumberFormat="1" applyFont="1" applyFill="1" applyBorder="1" applyAlignment="1">
      <alignment/>
    </xf>
    <xf numFmtId="164" fontId="7" fillId="42" borderId="30" xfId="58" applyNumberFormat="1" applyFont="1" applyFill="1" applyBorder="1" applyAlignment="1">
      <alignment/>
    </xf>
    <xf numFmtId="166" fontId="2" fillId="42" borderId="31" xfId="58" applyNumberFormat="1" applyFont="1" applyFill="1" applyBorder="1" applyAlignment="1">
      <alignment/>
    </xf>
    <xf numFmtId="166" fontId="2" fillId="42" borderId="11" xfId="58" applyNumberFormat="1" applyFont="1" applyFill="1" applyBorder="1" applyAlignment="1">
      <alignment/>
    </xf>
    <xf numFmtId="167" fontId="7" fillId="42" borderId="32" xfId="58" applyNumberFormat="1" applyFont="1" applyFill="1" applyBorder="1" applyAlignment="1">
      <alignment/>
    </xf>
    <xf numFmtId="168" fontId="2" fillId="42" borderId="31" xfId="58" applyNumberFormat="1" applyFont="1" applyFill="1" applyBorder="1" applyAlignment="1">
      <alignment/>
    </xf>
    <xf numFmtId="165" fontId="2" fillId="42" borderId="34" xfId="58" applyNumberFormat="1" applyFont="1" applyFill="1" applyBorder="1" applyAlignment="1">
      <alignment/>
    </xf>
    <xf numFmtId="165" fontId="2" fillId="42" borderId="11" xfId="58" applyNumberFormat="1" applyFont="1" applyFill="1" applyBorder="1" applyAlignment="1">
      <alignment/>
    </xf>
    <xf numFmtId="170" fontId="7" fillId="42" borderId="11" xfId="58" applyNumberFormat="1" applyFont="1" applyFill="1" applyBorder="1" applyAlignment="1">
      <alignment/>
    </xf>
    <xf numFmtId="167" fontId="2" fillId="42" borderId="31" xfId="58" applyNumberFormat="1" applyFont="1" applyFill="1" applyBorder="1" applyAlignment="1">
      <alignment/>
    </xf>
    <xf numFmtId="167" fontId="2" fillId="42" borderId="11" xfId="58" applyNumberFormat="1" applyFont="1" applyFill="1" applyBorder="1" applyAlignment="1">
      <alignment/>
    </xf>
    <xf numFmtId="166" fontId="2" fillId="42" borderId="34" xfId="58" applyNumberFormat="1" applyFont="1" applyFill="1" applyBorder="1" applyAlignment="1">
      <alignment/>
    </xf>
    <xf numFmtId="171" fontId="7" fillId="42" borderId="11" xfId="58" applyNumberFormat="1" applyFont="1" applyFill="1" applyBorder="1" applyAlignment="1">
      <alignment/>
    </xf>
    <xf numFmtId="172" fontId="7" fillId="42" borderId="11" xfId="58" applyNumberFormat="1" applyFont="1" applyFill="1" applyBorder="1" applyAlignment="1">
      <alignment/>
    </xf>
    <xf numFmtId="167" fontId="7" fillId="42" borderId="35" xfId="58" applyNumberFormat="1" applyFont="1" applyFill="1" applyBorder="1" applyAlignment="1">
      <alignment/>
    </xf>
    <xf numFmtId="167" fontId="7" fillId="43" borderId="0" xfId="58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166" fontId="2" fillId="0" borderId="31" xfId="58" applyNumberFormat="1" applyFont="1" applyFill="1" applyBorder="1" applyAlignment="1">
      <alignment/>
    </xf>
    <xf numFmtId="165" fontId="2" fillId="0" borderId="34" xfId="58" applyNumberFormat="1" applyFont="1" applyFill="1" applyBorder="1" applyAlignment="1">
      <alignment/>
    </xf>
    <xf numFmtId="167" fontId="7" fillId="0" borderId="35" xfId="58" applyNumberFormat="1" applyFont="1" applyFill="1" applyBorder="1" applyAlignment="1">
      <alignment/>
    </xf>
    <xf numFmtId="167" fontId="7" fillId="0" borderId="0" xfId="58" applyNumberFormat="1" applyFont="1" applyFill="1" applyBorder="1" applyAlignment="1">
      <alignment/>
    </xf>
    <xf numFmtId="171" fontId="7" fillId="0" borderId="11" xfId="58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170" fontId="7" fillId="0" borderId="11" xfId="58" applyNumberFormat="1" applyFont="1" applyFill="1" applyBorder="1" applyAlignment="1">
      <alignment/>
    </xf>
    <xf numFmtId="167" fontId="2" fillId="0" borderId="11" xfId="58" applyNumberFormat="1" applyFont="1" applyFill="1" applyBorder="1" applyAlignment="1">
      <alignment/>
    </xf>
    <xf numFmtId="172" fontId="7" fillId="0" borderId="11" xfId="58" applyNumberFormat="1" applyFont="1" applyFill="1" applyBorder="1" applyAlignment="1">
      <alignment/>
    </xf>
    <xf numFmtId="165" fontId="2" fillId="0" borderId="30" xfId="58" applyNumberFormat="1" applyFont="1" applyBorder="1" applyAlignment="1">
      <alignment/>
    </xf>
    <xf numFmtId="175" fontId="7" fillId="0" borderId="30" xfId="58" applyNumberFormat="1" applyFont="1" applyFill="1" applyBorder="1" applyAlignment="1">
      <alignment/>
    </xf>
    <xf numFmtId="165" fontId="2" fillId="0" borderId="34" xfId="58" applyNumberFormat="1" applyFont="1" applyBorder="1" applyAlignment="1">
      <alignment/>
    </xf>
    <xf numFmtId="170" fontId="7" fillId="34" borderId="11" xfId="58" applyNumberFormat="1" applyFont="1" applyFill="1" applyBorder="1" applyAlignment="1">
      <alignment/>
    </xf>
    <xf numFmtId="166" fontId="2" fillId="0" borderId="34" xfId="58" applyNumberFormat="1" applyFont="1" applyBorder="1" applyAlignment="1">
      <alignment/>
    </xf>
    <xf numFmtId="167" fontId="7" fillId="34" borderId="35" xfId="58" applyNumberFormat="1" applyFont="1" applyFill="1" applyBorder="1" applyAlignment="1">
      <alignment/>
    </xf>
    <xf numFmtId="167" fontId="7" fillId="34" borderId="0" xfId="58" applyNumberFormat="1" applyFont="1" applyFill="1" applyBorder="1" applyAlignment="1">
      <alignment/>
    </xf>
    <xf numFmtId="175" fontId="7" fillId="0" borderId="30" xfId="58" applyNumberFormat="1" applyFont="1" applyBorder="1" applyAlignment="1">
      <alignment/>
    </xf>
    <xf numFmtId="165" fontId="2" fillId="0" borderId="37" xfId="58" applyNumberFormat="1" applyFont="1" applyBorder="1" applyAlignment="1">
      <alignment/>
    </xf>
    <xf numFmtId="0" fontId="7" fillId="41" borderId="38" xfId="0" applyFont="1" applyFill="1" applyBorder="1" applyAlignment="1" applyProtection="1">
      <alignment/>
      <protection/>
    </xf>
    <xf numFmtId="166" fontId="7" fillId="41" borderId="39" xfId="58" applyNumberFormat="1" applyFont="1" applyFill="1" applyBorder="1" applyAlignment="1">
      <alignment horizontal="center"/>
    </xf>
    <xf numFmtId="166" fontId="7" fillId="41" borderId="40" xfId="58" applyNumberFormat="1" applyFont="1" applyFill="1" applyBorder="1" applyAlignment="1">
      <alignment horizontal="center"/>
    </xf>
    <xf numFmtId="166" fontId="7" fillId="41" borderId="41" xfId="58" applyNumberFormat="1" applyFont="1" applyFill="1" applyBorder="1" applyAlignment="1">
      <alignment horizontal="center"/>
    </xf>
    <xf numFmtId="165" fontId="7" fillId="41" borderId="40" xfId="58" applyNumberFormat="1" applyFont="1" applyFill="1" applyBorder="1" applyAlignment="1">
      <alignment horizontal="center"/>
    </xf>
    <xf numFmtId="168" fontId="7" fillId="41" borderId="40" xfId="58" applyNumberFormat="1" applyFont="1" applyFill="1" applyBorder="1" applyAlignment="1">
      <alignment horizontal="center"/>
    </xf>
    <xf numFmtId="167" fontId="7" fillId="41" borderId="40" xfId="58" applyNumberFormat="1" applyFont="1" applyFill="1" applyBorder="1" applyAlignment="1">
      <alignment horizontal="center"/>
    </xf>
    <xf numFmtId="43" fontId="7" fillId="41" borderId="42" xfId="58" applyNumberFormat="1" applyFont="1" applyFill="1" applyBorder="1" applyAlignment="1">
      <alignment horizontal="center"/>
    </xf>
    <xf numFmtId="43" fontId="7" fillId="41" borderId="40" xfId="58" applyNumberFormat="1" applyFont="1" applyFill="1" applyBorder="1" applyAlignment="1">
      <alignment horizontal="center"/>
    </xf>
    <xf numFmtId="166" fontId="7" fillId="41" borderId="43" xfId="58" applyNumberFormat="1" applyFont="1" applyFill="1" applyBorder="1" applyAlignment="1">
      <alignment horizontal="center"/>
    </xf>
    <xf numFmtId="166" fontId="7" fillId="41" borderId="42" xfId="58" applyNumberFormat="1" applyFont="1" applyFill="1" applyBorder="1" applyAlignment="1">
      <alignment horizontal="center"/>
    </xf>
    <xf numFmtId="166" fontId="7" fillId="41" borderId="44" xfId="58" applyNumberFormat="1" applyFont="1" applyFill="1" applyBorder="1" applyAlignment="1">
      <alignment horizontal="center"/>
    </xf>
    <xf numFmtId="166" fontId="7" fillId="41" borderId="0" xfId="58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0" fontId="12" fillId="13" borderId="0" xfId="0" applyFon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44" borderId="45" xfId="0" applyFont="1" applyFill="1" applyBorder="1" applyAlignment="1">
      <alignment horizontal="center" vertical="center"/>
    </xf>
    <xf numFmtId="0" fontId="6" fillId="45" borderId="46" xfId="0" applyFont="1" applyFill="1" applyBorder="1" applyAlignment="1">
      <alignment horizontal="center" vertical="center"/>
    </xf>
    <xf numFmtId="0" fontId="6" fillId="44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3" fontId="4" fillId="0" borderId="0" xfId="58" applyFont="1" applyAlignment="1">
      <alignment horizontal="center" wrapText="1"/>
    </xf>
    <xf numFmtId="43" fontId="4" fillId="0" borderId="50" xfId="58" applyFont="1" applyBorder="1" applyAlignment="1">
      <alignment horizont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6" fillId="8" borderId="51" xfId="0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/>
    </xf>
    <xf numFmtId="0" fontId="6" fillId="8" borderId="54" xfId="0" applyFont="1" applyFill="1" applyBorder="1" applyAlignment="1">
      <alignment horizontal="center" vertical="center"/>
    </xf>
    <xf numFmtId="0" fontId="6" fillId="45" borderId="54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52"/>
  <sheetViews>
    <sheetView tabSelected="1" zoomScale="70" zoomScaleNormal="70" zoomScalePageLayoutView="0" workbookViewId="0" topLeftCell="F1">
      <selection activeCell="P7" sqref="P7"/>
    </sheetView>
  </sheetViews>
  <sheetFormatPr defaultColWidth="9.140625" defaultRowHeight="15"/>
  <cols>
    <col min="1" max="1" width="21.421875" style="0" customWidth="1"/>
    <col min="2" max="2" width="22.00390625" style="0" customWidth="1"/>
    <col min="3" max="3" width="20.28125" style="0" customWidth="1"/>
    <col min="4" max="4" width="20.140625" style="0" customWidth="1"/>
    <col min="5" max="5" width="32.8515625" style="0" customWidth="1"/>
    <col min="6" max="6" width="21.57421875" style="0" customWidth="1"/>
    <col min="7" max="7" width="23.7109375" style="0" customWidth="1"/>
    <col min="8" max="8" width="21.57421875" style="0" customWidth="1"/>
    <col min="9" max="10" width="20.140625" style="0" customWidth="1"/>
    <col min="11" max="11" width="17.7109375" style="0" customWidth="1"/>
    <col min="12" max="12" width="17.421875" style="0" customWidth="1"/>
    <col min="13" max="13" width="13.7109375" style="0" customWidth="1"/>
    <col min="14" max="14" width="19.57421875" style="0" customWidth="1"/>
    <col min="15" max="15" width="22.28125" style="0" customWidth="1"/>
    <col min="16" max="16" width="17.140625" style="0" customWidth="1"/>
    <col min="17" max="17" width="19.57421875" style="0" customWidth="1"/>
    <col min="18" max="18" width="21.57421875" style="0" customWidth="1"/>
    <col min="19" max="19" width="25.28125" style="0" customWidth="1"/>
    <col min="20" max="20" width="24.28125" style="0" customWidth="1"/>
    <col min="21" max="21" width="29.7109375" style="0" customWidth="1"/>
    <col min="22" max="22" width="18.00390625" style="0" customWidth="1"/>
    <col min="23" max="23" width="23.7109375" style="0" customWidth="1"/>
    <col min="24" max="24" width="14.00390625" style="0" customWidth="1"/>
    <col min="25" max="25" width="15.421875" style="0" customWidth="1"/>
    <col min="26" max="26" width="15.140625" style="0" customWidth="1"/>
    <col min="27" max="27" width="14.57421875" style="0" customWidth="1"/>
    <col min="28" max="28" width="20.7109375" style="0" hidden="1" customWidth="1"/>
    <col min="29" max="30" width="14.28125" style="0" customWidth="1"/>
    <col min="31" max="31" width="13.00390625" style="0" customWidth="1"/>
    <col min="32" max="32" width="15.28125" style="0" hidden="1" customWidth="1"/>
    <col min="33" max="33" width="20.28125" style="0" hidden="1" customWidth="1"/>
    <col min="34" max="34" width="36.57421875" style="0" hidden="1" customWidth="1"/>
    <col min="35" max="35" width="25.421875" style="0" customWidth="1"/>
    <col min="36" max="36" width="10.7109375" style="0" customWidth="1"/>
    <col min="37" max="37" width="16.00390625" style="0" customWidth="1"/>
    <col min="38" max="38" width="13.140625" style="0" customWidth="1"/>
    <col min="39" max="40" width="23.8515625" style="0" customWidth="1"/>
    <col min="41" max="41" width="46.00390625" style="0" customWidth="1"/>
    <col min="42" max="42" width="16.8515625" style="0" customWidth="1"/>
    <col min="43" max="43" width="21.140625" style="0" customWidth="1"/>
    <col min="44" max="44" width="14.7109375" style="0" customWidth="1"/>
    <col min="45" max="45" width="27.28125" style="0" customWidth="1"/>
    <col min="46" max="46" width="24.421875" style="0" customWidth="1"/>
    <col min="47" max="47" width="27.28125" style="0" customWidth="1"/>
    <col min="48" max="48" width="16.8515625" style="0" customWidth="1"/>
    <col min="49" max="49" width="21.140625" style="0" customWidth="1"/>
    <col min="50" max="50" width="14.7109375" style="0" customWidth="1"/>
    <col min="51" max="51" width="13.8515625" style="0" customWidth="1"/>
    <col min="52" max="52" width="9.140625" style="7" hidden="1" customWidth="1"/>
    <col min="53" max="53" width="13.8515625" style="0" hidden="1" customWidth="1"/>
    <col min="54" max="56" width="9.140625" style="7" hidden="1" customWidth="1"/>
    <col min="57" max="57" width="12.28125" style="7" hidden="1" customWidth="1"/>
    <col min="58" max="58" width="12.8515625" style="7" hidden="1" customWidth="1"/>
    <col min="59" max="59" width="13.00390625" style="7" hidden="1" customWidth="1"/>
    <col min="60" max="61" width="11.00390625" style="7" hidden="1" customWidth="1"/>
    <col min="62" max="62" width="9.140625" style="7" hidden="1" customWidth="1"/>
    <col min="63" max="64" width="9.140625" style="7" customWidth="1"/>
    <col min="65" max="16384" width="9.140625" style="7" customWidth="1"/>
  </cols>
  <sheetData>
    <row r="1" spans="1:53" s="6" customFormat="1" ht="16.5" customHeight="1">
      <c r="A1" s="1"/>
      <c r="B1" s="137" t="s">
        <v>0</v>
      </c>
      <c r="C1" s="137"/>
      <c r="D1" s="137"/>
      <c r="E1" s="137"/>
      <c r="F1" s="137"/>
      <c r="G1" s="137"/>
      <c r="H1" s="137"/>
      <c r="I1" s="2"/>
      <c r="J1" s="2"/>
      <c r="K1" s="2"/>
      <c r="L1" s="2"/>
      <c r="M1" s="2"/>
      <c r="N1" s="2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3"/>
      <c r="AC1" s="1"/>
      <c r="AD1" s="1"/>
      <c r="AE1" s="1"/>
      <c r="AF1" s="1"/>
      <c r="AG1" s="1"/>
      <c r="AH1" s="1"/>
      <c r="AI1" s="1"/>
      <c r="AJ1" s="1"/>
      <c r="AK1" s="1"/>
      <c r="AL1" s="4"/>
      <c r="AM1" s="4"/>
      <c r="AN1" s="5"/>
      <c r="AO1" s="5"/>
      <c r="AP1" s="5"/>
      <c r="AQ1" s="4"/>
      <c r="AR1" s="1"/>
      <c r="AS1" s="4"/>
      <c r="AT1" s="4"/>
      <c r="AU1" s="5"/>
      <c r="AV1" s="5"/>
      <c r="AW1" s="4"/>
      <c r="AX1" s="1"/>
      <c r="AY1" s="1"/>
      <c r="BA1" s="1"/>
    </row>
    <row r="2" spans="2:53" ht="12.75" customHeight="1" hidden="1">
      <c r="B2" s="137"/>
      <c r="C2" s="137"/>
      <c r="D2" s="137"/>
      <c r="E2" s="137"/>
      <c r="F2" s="137"/>
      <c r="G2" s="137"/>
      <c r="H2" s="137"/>
      <c r="BA2" s="1"/>
    </row>
    <row r="3" spans="2:53" ht="15.75" thickBot="1">
      <c r="B3" s="138"/>
      <c r="C3" s="138"/>
      <c r="D3" s="138"/>
      <c r="E3" s="138"/>
      <c r="F3" s="138"/>
      <c r="G3" s="138"/>
      <c r="H3" s="138"/>
      <c r="I3" s="8"/>
      <c r="K3" s="9"/>
      <c r="L3" s="8"/>
      <c r="M3" s="8"/>
      <c r="T3" s="8"/>
      <c r="Y3" s="8"/>
      <c r="AE3" s="8"/>
      <c r="AM3" s="8"/>
      <c r="AN3" s="8"/>
      <c r="AO3" s="8"/>
      <c r="BA3" s="1"/>
    </row>
    <row r="4" spans="1:53" ht="15.75" thickTop="1">
      <c r="A4" s="139" t="s">
        <v>1</v>
      </c>
      <c r="B4" s="142"/>
      <c r="C4" s="143"/>
      <c r="D4" s="143"/>
      <c r="E4" s="143"/>
      <c r="F4" s="143"/>
      <c r="G4" s="143"/>
      <c r="H4" s="144"/>
      <c r="I4" s="130"/>
      <c r="J4" s="131"/>
      <c r="K4" s="131"/>
      <c r="L4" s="131"/>
      <c r="M4" s="131"/>
      <c r="N4" s="131"/>
      <c r="O4" s="131"/>
      <c r="P4" s="131"/>
      <c r="Q4" s="145"/>
      <c r="R4" s="130"/>
      <c r="S4" s="131"/>
      <c r="T4" s="131"/>
      <c r="U4" s="131"/>
      <c r="V4" s="131"/>
      <c r="W4" s="131"/>
      <c r="X4" s="145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2"/>
      <c r="AM4" s="130"/>
      <c r="AN4" s="131"/>
      <c r="AO4" s="131"/>
      <c r="AP4" s="131"/>
      <c r="AQ4" s="131"/>
      <c r="AR4" s="132"/>
      <c r="AS4" s="130"/>
      <c r="AT4" s="131"/>
      <c r="AU4" s="131"/>
      <c r="AV4" s="131"/>
      <c r="AW4" s="131"/>
      <c r="AX4" s="132"/>
      <c r="AY4" s="10"/>
      <c r="AZ4" s="11"/>
      <c r="BA4" s="1"/>
    </row>
    <row r="5" spans="1:53" ht="15.75" thickBot="1">
      <c r="A5" s="140"/>
      <c r="B5" s="133"/>
      <c r="C5" s="134"/>
      <c r="D5" s="134"/>
      <c r="E5" s="13" t="s">
        <v>2</v>
      </c>
      <c r="F5" s="14"/>
      <c r="G5" s="15"/>
      <c r="H5" s="16"/>
      <c r="I5" s="135"/>
      <c r="J5" s="134"/>
      <c r="K5" s="134"/>
      <c r="L5" s="12"/>
      <c r="M5" s="12"/>
      <c r="N5" s="13" t="s">
        <v>3</v>
      </c>
      <c r="O5" s="14"/>
      <c r="P5" s="15"/>
      <c r="Q5" s="16"/>
      <c r="R5" s="135"/>
      <c r="S5" s="134"/>
      <c r="T5" s="134"/>
      <c r="U5" s="13" t="s">
        <v>4</v>
      </c>
      <c r="V5" s="14"/>
      <c r="W5" s="15"/>
      <c r="X5" s="16"/>
      <c r="Y5" s="136"/>
      <c r="Z5" s="134"/>
      <c r="AA5" s="134"/>
      <c r="AB5" s="12"/>
      <c r="AC5" s="12"/>
      <c r="AD5" s="12"/>
      <c r="AE5" s="12"/>
      <c r="AF5" s="12"/>
      <c r="AG5" s="12"/>
      <c r="AH5" s="12"/>
      <c r="AI5" s="13" t="s">
        <v>5</v>
      </c>
      <c r="AJ5" s="14"/>
      <c r="AK5" s="15"/>
      <c r="AL5" s="17"/>
      <c r="AM5" s="135"/>
      <c r="AN5" s="134"/>
      <c r="AO5" s="13" t="s">
        <v>6</v>
      </c>
      <c r="AP5" s="14"/>
      <c r="AQ5" s="15"/>
      <c r="AR5" s="17"/>
      <c r="AS5" s="135"/>
      <c r="AT5" s="134"/>
      <c r="AU5" s="13" t="s">
        <v>7</v>
      </c>
      <c r="AV5" s="14"/>
      <c r="AW5" s="15"/>
      <c r="AX5" s="17"/>
      <c r="AY5" s="18"/>
      <c r="AZ5" s="11"/>
      <c r="BA5" s="1"/>
    </row>
    <row r="6" spans="1:53" ht="159.75" customHeight="1" thickBot="1">
      <c r="A6" s="140"/>
      <c r="B6" s="19" t="s">
        <v>8</v>
      </c>
      <c r="C6" s="19" t="s">
        <v>9</v>
      </c>
      <c r="D6" s="19" t="s">
        <v>10</v>
      </c>
      <c r="E6" s="19" t="s">
        <v>11</v>
      </c>
      <c r="F6" s="20" t="s">
        <v>12</v>
      </c>
      <c r="G6" s="20" t="s">
        <v>13</v>
      </c>
      <c r="H6" s="21" t="s">
        <v>14</v>
      </c>
      <c r="I6" s="19" t="s">
        <v>15</v>
      </c>
      <c r="J6" s="19" t="s">
        <v>16</v>
      </c>
      <c r="K6" s="19" t="s">
        <v>17</v>
      </c>
      <c r="L6" s="19" t="s">
        <v>18</v>
      </c>
      <c r="M6" s="19" t="s">
        <v>19</v>
      </c>
      <c r="N6" s="19" t="s">
        <v>20</v>
      </c>
      <c r="O6" s="20" t="s">
        <v>12</v>
      </c>
      <c r="P6" s="20" t="s">
        <v>13</v>
      </c>
      <c r="Q6" s="21" t="s">
        <v>14</v>
      </c>
      <c r="R6" s="19" t="s">
        <v>21</v>
      </c>
      <c r="S6" s="19" t="s">
        <v>22</v>
      </c>
      <c r="T6" s="19" t="s">
        <v>23</v>
      </c>
      <c r="U6" s="19" t="s">
        <v>24</v>
      </c>
      <c r="V6" s="20" t="s">
        <v>12</v>
      </c>
      <c r="W6" s="20" t="s">
        <v>13</v>
      </c>
      <c r="X6" s="21" t="s">
        <v>14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30</v>
      </c>
      <c r="AE6" s="19" t="s">
        <v>31</v>
      </c>
      <c r="AF6" s="22" t="s">
        <v>32</v>
      </c>
      <c r="AG6" s="22" t="s">
        <v>33</v>
      </c>
      <c r="AH6" s="22" t="s">
        <v>34</v>
      </c>
      <c r="AI6" s="19" t="s">
        <v>35</v>
      </c>
      <c r="AJ6" s="20" t="s">
        <v>12</v>
      </c>
      <c r="AK6" s="20" t="s">
        <v>13</v>
      </c>
      <c r="AL6" s="20" t="s">
        <v>14</v>
      </c>
      <c r="AM6" s="23" t="s">
        <v>36</v>
      </c>
      <c r="AN6" s="19" t="s">
        <v>37</v>
      </c>
      <c r="AO6" s="19" t="s">
        <v>38</v>
      </c>
      <c r="AP6" s="20" t="s">
        <v>12</v>
      </c>
      <c r="AQ6" s="20" t="s">
        <v>13</v>
      </c>
      <c r="AR6" s="20" t="s">
        <v>14</v>
      </c>
      <c r="AS6" s="24" t="s">
        <v>39</v>
      </c>
      <c r="AT6" s="25" t="s">
        <v>40</v>
      </c>
      <c r="AU6" s="25" t="s">
        <v>41</v>
      </c>
      <c r="AV6" s="20" t="s">
        <v>12</v>
      </c>
      <c r="AW6" s="20" t="s">
        <v>13</v>
      </c>
      <c r="AX6" s="20" t="s">
        <v>14</v>
      </c>
      <c r="AY6" s="26" t="s">
        <v>42</v>
      </c>
      <c r="AZ6" s="27"/>
      <c r="BA6" s="1" t="s">
        <v>43</v>
      </c>
    </row>
    <row r="7" spans="1:53" ht="52.5" thickBot="1" thickTop="1">
      <c r="A7" s="141"/>
      <c r="B7" s="28" t="s">
        <v>44</v>
      </c>
      <c r="C7" s="28" t="s">
        <v>45</v>
      </c>
      <c r="D7" s="28" t="s">
        <v>46</v>
      </c>
      <c r="E7" s="28" t="s">
        <v>47</v>
      </c>
      <c r="F7" s="28" t="s">
        <v>48</v>
      </c>
      <c r="G7" s="28" t="s">
        <v>48</v>
      </c>
      <c r="H7" s="29">
        <v>1</v>
      </c>
      <c r="I7" s="28" t="s">
        <v>44</v>
      </c>
      <c r="J7" s="28" t="s">
        <v>45</v>
      </c>
      <c r="K7" s="28" t="s">
        <v>46</v>
      </c>
      <c r="L7" s="28" t="s">
        <v>49</v>
      </c>
      <c r="M7" s="28"/>
      <c r="N7" s="28" t="s">
        <v>50</v>
      </c>
      <c r="O7" s="29" t="s">
        <v>48</v>
      </c>
      <c r="P7" s="29" t="s">
        <v>51</v>
      </c>
      <c r="Q7" s="29">
        <v>1</v>
      </c>
      <c r="R7" s="28" t="s">
        <v>44</v>
      </c>
      <c r="S7" s="28" t="s">
        <v>45</v>
      </c>
      <c r="T7" s="28" t="s">
        <v>46</v>
      </c>
      <c r="U7" s="28" t="s">
        <v>52</v>
      </c>
      <c r="V7" s="28" t="s">
        <v>53</v>
      </c>
      <c r="W7" s="28" t="s">
        <v>53</v>
      </c>
      <c r="X7" s="29">
        <v>1</v>
      </c>
      <c r="Y7" s="28" t="s">
        <v>44</v>
      </c>
      <c r="Z7" s="28" t="s">
        <v>45</v>
      </c>
      <c r="AA7" s="28" t="s">
        <v>46</v>
      </c>
      <c r="AB7" s="28" t="s">
        <v>54</v>
      </c>
      <c r="AC7" s="28" t="s">
        <v>49</v>
      </c>
      <c r="AD7" s="28" t="s">
        <v>55</v>
      </c>
      <c r="AE7" s="28" t="s">
        <v>56</v>
      </c>
      <c r="AF7" s="30"/>
      <c r="AG7" s="30"/>
      <c r="AH7" s="30"/>
      <c r="AI7" s="28" t="s">
        <v>57</v>
      </c>
      <c r="AJ7" s="28" t="s">
        <v>58</v>
      </c>
      <c r="AK7" s="28" t="s">
        <v>59</v>
      </c>
      <c r="AL7" s="28">
        <v>1.5</v>
      </c>
      <c r="AM7" s="28" t="s">
        <v>44</v>
      </c>
      <c r="AN7" s="28" t="s">
        <v>45</v>
      </c>
      <c r="AO7" s="28" t="s">
        <v>60</v>
      </c>
      <c r="AP7" s="28" t="s">
        <v>48</v>
      </c>
      <c r="AQ7" s="28" t="s">
        <v>48</v>
      </c>
      <c r="AR7" s="28">
        <v>1</v>
      </c>
      <c r="AS7" s="28" t="s">
        <v>44</v>
      </c>
      <c r="AT7" s="28" t="s">
        <v>45</v>
      </c>
      <c r="AU7" s="28" t="s">
        <v>60</v>
      </c>
      <c r="AV7" s="28" t="s">
        <v>48</v>
      </c>
      <c r="AW7" s="28" t="s">
        <v>48</v>
      </c>
      <c r="AX7" s="28">
        <v>1</v>
      </c>
      <c r="AY7" s="31"/>
      <c r="AZ7" s="32"/>
      <c r="BA7" s="1"/>
    </row>
    <row r="8" spans="1:55" ht="16.5" thickBot="1" thickTop="1">
      <c r="A8" s="33"/>
      <c r="B8" s="34"/>
      <c r="C8" s="34"/>
      <c r="D8" s="34"/>
      <c r="E8" s="34"/>
      <c r="F8" s="34"/>
      <c r="G8" s="34"/>
      <c r="H8" s="35"/>
      <c r="I8" s="37"/>
      <c r="J8" s="34"/>
      <c r="K8" s="34"/>
      <c r="L8" s="36"/>
      <c r="M8" s="36"/>
      <c r="N8" s="34"/>
      <c r="O8" s="34"/>
      <c r="P8" s="34"/>
      <c r="Q8" s="35"/>
      <c r="R8" s="37"/>
      <c r="S8" s="34"/>
      <c r="T8" s="34"/>
      <c r="U8" s="34"/>
      <c r="V8" s="34"/>
      <c r="W8" s="34"/>
      <c r="X8" s="35"/>
      <c r="Y8" s="146"/>
      <c r="Z8" s="34"/>
      <c r="AA8" s="34"/>
      <c r="AB8" s="36"/>
      <c r="AC8" s="38"/>
      <c r="AD8" s="34"/>
      <c r="AE8" s="34"/>
      <c r="AF8" s="34"/>
      <c r="AG8" s="34"/>
      <c r="AH8" s="34"/>
      <c r="AI8" s="34"/>
      <c r="AJ8" s="34"/>
      <c r="AK8" s="34"/>
      <c r="AL8" s="34"/>
      <c r="AM8" s="39"/>
      <c r="AN8" s="34"/>
      <c r="AO8" s="34"/>
      <c r="AP8" s="34"/>
      <c r="AQ8" s="34"/>
      <c r="AR8" s="34"/>
      <c r="AS8" s="39"/>
      <c r="AT8" s="34"/>
      <c r="AU8" s="34"/>
      <c r="AV8" s="34"/>
      <c r="AW8" s="34"/>
      <c r="AX8" s="34"/>
      <c r="AY8" s="40"/>
      <c r="AZ8" s="34"/>
      <c r="BA8" s="1"/>
      <c r="BC8" s="41" t="s">
        <v>61</v>
      </c>
    </row>
    <row r="9" spans="1:60" ht="16.5" thickBot="1" thickTop="1">
      <c r="A9" s="42"/>
      <c r="B9" s="43"/>
      <c r="C9" s="43"/>
      <c r="D9" s="43"/>
      <c r="E9" s="43"/>
      <c r="F9" s="43"/>
      <c r="G9" s="43"/>
      <c r="H9" s="44"/>
      <c r="I9" s="45"/>
      <c r="J9" s="43"/>
      <c r="K9" s="43"/>
      <c r="L9" s="43"/>
      <c r="M9" s="43"/>
      <c r="N9" s="43"/>
      <c r="O9" s="43"/>
      <c r="P9" s="43"/>
      <c r="Q9" s="44"/>
      <c r="R9" s="45"/>
      <c r="S9" s="43"/>
      <c r="T9" s="43"/>
      <c r="U9" s="43"/>
      <c r="V9" s="43"/>
      <c r="W9" s="43"/>
      <c r="X9" s="44"/>
      <c r="Y9" s="46"/>
      <c r="Z9" s="43"/>
      <c r="AA9" s="43"/>
      <c r="AB9" s="43"/>
      <c r="AC9" s="43"/>
      <c r="AD9" s="43"/>
      <c r="AE9" s="43"/>
      <c r="AF9" s="43"/>
      <c r="AG9" s="43"/>
      <c r="AH9" s="43"/>
      <c r="AI9" s="47" t="s">
        <v>62</v>
      </c>
      <c r="AJ9" s="43"/>
      <c r="AK9" s="43"/>
      <c r="AL9" s="43"/>
      <c r="AM9" s="45"/>
      <c r="AN9" s="43"/>
      <c r="AO9" s="43"/>
      <c r="AP9" s="43"/>
      <c r="AQ9" s="43"/>
      <c r="AR9" s="43"/>
      <c r="AS9" s="45"/>
      <c r="AT9" s="43"/>
      <c r="AU9" s="43"/>
      <c r="AV9" s="43"/>
      <c r="AW9" s="43"/>
      <c r="AX9" s="43"/>
      <c r="AY9" s="48"/>
      <c r="AZ9" s="49"/>
      <c r="BA9" s="1"/>
      <c r="BC9" s="41" t="s">
        <v>63</v>
      </c>
      <c r="BD9" s="7" t="s">
        <v>64</v>
      </c>
      <c r="BE9" s="50" t="s">
        <v>65</v>
      </c>
      <c r="BF9" s="7" t="s">
        <v>66</v>
      </c>
      <c r="BG9" s="7" t="s">
        <v>67</v>
      </c>
      <c r="BH9" s="7" t="s">
        <v>68</v>
      </c>
    </row>
    <row r="10" spans="1:60" ht="15.75" thickTop="1">
      <c r="A10" s="51" t="s">
        <v>69</v>
      </c>
      <c r="B10" s="52">
        <v>2017427</v>
      </c>
      <c r="C10" s="52">
        <v>231962.79156</v>
      </c>
      <c r="D10" s="52">
        <v>2084385</v>
      </c>
      <c r="E10" s="53">
        <f>IF(AND(B10=0,D10=0),0,B10/(IF(C10&gt;0,C10,0)+D10))</f>
        <v>0.8709516797740099</v>
      </c>
      <c r="F10" s="54">
        <f>IF(E10&lt;=1,1,0)</f>
        <v>1</v>
      </c>
      <c r="G10" s="55"/>
      <c r="H10" s="56">
        <f aca="true" t="shared" si="0" ref="H10:H42">F10+G10</f>
        <v>1</v>
      </c>
      <c r="I10" s="57">
        <v>2255507.07862</v>
      </c>
      <c r="J10" s="52">
        <v>8571068.01523</v>
      </c>
      <c r="K10" s="58">
        <v>5510557.95091</v>
      </c>
      <c r="L10" s="57">
        <v>124896.17436</v>
      </c>
      <c r="M10" s="57">
        <v>0</v>
      </c>
      <c r="N10" s="59">
        <f>(I10-M10)/(J10-K10-L10)</f>
        <v>0.7683255234395736</v>
      </c>
      <c r="O10" s="54">
        <f aca="true" t="shared" si="1" ref="O10:O16">IF(N10&lt;=1,1,0)</f>
        <v>1</v>
      </c>
      <c r="P10" s="55"/>
      <c r="Q10" s="56">
        <f aca="true" t="shared" si="2" ref="Q10:Q42">O10+P10</f>
        <v>1</v>
      </c>
      <c r="R10" s="60">
        <v>190619.49096999998</v>
      </c>
      <c r="S10" s="52">
        <v>8803030.806790002</v>
      </c>
      <c r="T10" s="58">
        <v>2702106.0754</v>
      </c>
      <c r="U10" s="53">
        <f aca="true" t="shared" si="3" ref="U10:U42">R10/(S10-T10)</f>
        <v>0.031244360381835146</v>
      </c>
      <c r="V10" s="54">
        <f aca="true" t="shared" si="4" ref="V10:V16">IF(U10&lt;=0.15,1,0)</f>
        <v>1</v>
      </c>
      <c r="W10" s="55"/>
      <c r="X10" s="56">
        <f>V10+W10</f>
        <v>1</v>
      </c>
      <c r="Y10" s="52">
        <f>C10</f>
        <v>231962.79156</v>
      </c>
      <c r="Z10" s="61">
        <v>22323.2</v>
      </c>
      <c r="AA10" s="62">
        <v>276597.59156000003</v>
      </c>
      <c r="AB10" s="63"/>
      <c r="AC10" s="63">
        <f aca="true" t="shared" si="5" ref="AC10:AE42">J10</f>
        <v>8571068.01523</v>
      </c>
      <c r="AD10" s="63">
        <f t="shared" si="5"/>
        <v>5510557.95091</v>
      </c>
      <c r="AE10" s="63">
        <f t="shared" si="5"/>
        <v>124896.17436</v>
      </c>
      <c r="AF10" s="63">
        <f>AC10-AD10-AE10</f>
        <v>2935613.88996</v>
      </c>
      <c r="AG10" s="63">
        <f aca="true" t="shared" si="6" ref="AG10:AG17">AF10*10%</f>
        <v>293561.388996</v>
      </c>
      <c r="AH10" s="63">
        <f aca="true" t="shared" si="7" ref="AH10:AH15">IF(AA10&gt;0,AA10,0)+AG10+IF(AB10&gt;0,AB10,0)</f>
        <v>570158.980556</v>
      </c>
      <c r="AI10" s="64">
        <f aca="true" t="shared" si="8" ref="AI10:AI42">IF((Y10-IF(Z10&gt;0,Z10,0)-IF(AA10&gt;0,AA10,0)-IF(AB10&gt;0,AB10,0))/(AC10-AD10-AE10)&gt;0,(Y10-IF(Z10&gt;0,Z10,0)-IF(AA10&gt;0,AA10,0)-IF(AB10&gt;0,AB10,0))/(AC10-AD10-AE10),0)</f>
        <v>0</v>
      </c>
      <c r="AJ10" s="65">
        <f>IF(AI10&lt;=0.1,1.5,0)</f>
        <v>1.5</v>
      </c>
      <c r="AK10" s="66"/>
      <c r="AL10" s="67">
        <f aca="true" t="shared" si="9" ref="AL10:AL42">AJ10+AK10</f>
        <v>1.5</v>
      </c>
      <c r="AM10" s="68">
        <v>224512.7</v>
      </c>
      <c r="AN10" s="66">
        <v>233258</v>
      </c>
      <c r="AO10" s="69">
        <f aca="true" t="shared" si="10" ref="AO10:AO42">AM10/AN10</f>
        <v>0.9625080383095114</v>
      </c>
      <c r="AP10" s="70">
        <f>IF(AO10&lt;=1,1,0)</f>
        <v>1</v>
      </c>
      <c r="AQ10" s="55"/>
      <c r="AR10" s="71">
        <f>AP10+AQ10</f>
        <v>1</v>
      </c>
      <c r="AS10" s="68">
        <v>423263.5</v>
      </c>
      <c r="AT10" s="66">
        <v>425104</v>
      </c>
      <c r="AU10" s="69">
        <f>AS10/AT10</f>
        <v>0.9956704712258647</v>
      </c>
      <c r="AV10" s="70">
        <f>IF(AU10&lt;=1,1,0)</f>
        <v>1</v>
      </c>
      <c r="AW10" s="55"/>
      <c r="AX10" s="71">
        <f aca="true" t="shared" si="11" ref="AX10:AX42">AV10+AW10</f>
        <v>1</v>
      </c>
      <c r="AY10" s="72">
        <f aca="true" t="shared" si="12" ref="AY10:AY42">H10+Q10+X10+AL10+AR10+AX10</f>
        <v>6.5</v>
      </c>
      <c r="AZ10" s="73"/>
      <c r="BA10" s="74">
        <v>934451.47</v>
      </c>
      <c r="BC10" s="75">
        <f aca="true" t="shared" si="13" ref="BC10:BC42">(BA10+L10)/(J10-T10)</f>
        <v>0.18050000242303244</v>
      </c>
      <c r="BD10" s="7">
        <f>IF(($BC10&lt;=4.9%),1,0)</f>
        <v>0</v>
      </c>
      <c r="BE10" s="76">
        <f>IF(AND(BC10&gt;5%,BC10&lt;19.9%),1,0)</f>
        <v>1</v>
      </c>
      <c r="BF10" s="76">
        <f>IF(AND(BC10&gt;20%,BC10&lt;49.9%),1,0)</f>
        <v>0</v>
      </c>
      <c r="BG10" s="76">
        <f>IF(AND(BC10&gt;50%,BC10&lt;89.9%),1,0)</f>
        <v>0</v>
      </c>
      <c r="BH10" s="7">
        <f>IF((BC10&gt;=90%),1,0)</f>
        <v>0</v>
      </c>
    </row>
    <row r="11" spans="1:60" ht="15">
      <c r="A11" s="77" t="s">
        <v>70</v>
      </c>
      <c r="B11" s="78">
        <v>26000</v>
      </c>
      <c r="C11" s="78">
        <v>-2388.3803700000003</v>
      </c>
      <c r="D11" s="78">
        <v>26620</v>
      </c>
      <c r="E11" s="79">
        <f aca="true" t="shared" si="14" ref="E11:E42">IF(AND(B11=0,D11=0),0,B11/(IF(C11&gt;0,C11,0)+D11))</f>
        <v>0.976709241172051</v>
      </c>
      <c r="F11" s="80"/>
      <c r="G11" s="81">
        <f>IF(E11&lt;=1,1,0)</f>
        <v>1</v>
      </c>
      <c r="H11" s="82">
        <f t="shared" si="0"/>
        <v>1</v>
      </c>
      <c r="I11" s="78">
        <v>26000</v>
      </c>
      <c r="J11" s="78">
        <v>794842.3415900001</v>
      </c>
      <c r="K11" s="83">
        <v>569191.7636599999</v>
      </c>
      <c r="L11" s="78">
        <v>164279.1102</v>
      </c>
      <c r="M11" s="78">
        <v>0</v>
      </c>
      <c r="N11" s="79">
        <f>(I11-M11)/(J11-K11-L11)</f>
        <v>0.4236496365768102</v>
      </c>
      <c r="O11" s="80"/>
      <c r="P11" s="81">
        <f>IF(N11&lt;=0.5,1,0)</f>
        <v>1</v>
      </c>
      <c r="Q11" s="82">
        <f t="shared" si="2"/>
        <v>1</v>
      </c>
      <c r="R11" s="84">
        <v>1931.69398</v>
      </c>
      <c r="S11" s="78">
        <v>792453.96122</v>
      </c>
      <c r="T11" s="83">
        <v>397919.38041000004</v>
      </c>
      <c r="U11" s="79">
        <f t="shared" si="3"/>
        <v>0.0048961335050380925</v>
      </c>
      <c r="V11" s="80"/>
      <c r="W11" s="81">
        <f>IF(U11&lt;=0.15,1,0)</f>
        <v>1</v>
      </c>
      <c r="X11" s="82">
        <f aca="true" t="shared" si="15" ref="X11:X42">V11+W11</f>
        <v>1</v>
      </c>
      <c r="Y11" s="78">
        <f aca="true" t="shared" si="16" ref="Y11:Y42">C11</f>
        <v>-2388.3803700000003</v>
      </c>
      <c r="Z11" s="85"/>
      <c r="AA11" s="85">
        <v>-1768.38037</v>
      </c>
      <c r="AB11" s="85"/>
      <c r="AC11" s="85">
        <f t="shared" si="5"/>
        <v>794842.3415900001</v>
      </c>
      <c r="AD11" s="85">
        <f t="shared" si="5"/>
        <v>569191.7636599999</v>
      </c>
      <c r="AE11" s="85">
        <f t="shared" si="5"/>
        <v>164279.1102</v>
      </c>
      <c r="AF11" s="85">
        <f aca="true" t="shared" si="17" ref="AF11:AF42">AC11-AD11-AE11</f>
        <v>61371.46773000015</v>
      </c>
      <c r="AG11" s="85">
        <f t="shared" si="6"/>
        <v>6137.146773000015</v>
      </c>
      <c r="AH11" s="85">
        <f t="shared" si="7"/>
        <v>6137.146773000015</v>
      </c>
      <c r="AI11" s="86">
        <f t="shared" si="8"/>
        <v>0</v>
      </c>
      <c r="AJ11" s="87"/>
      <c r="AK11" s="88">
        <f>IF(AI11&lt;=0.05,1.5,0)</f>
        <v>1.5</v>
      </c>
      <c r="AL11" s="82">
        <f t="shared" si="9"/>
        <v>1.5</v>
      </c>
      <c r="AM11" s="89">
        <v>26514.100000000002</v>
      </c>
      <c r="AN11" s="81">
        <v>27112</v>
      </c>
      <c r="AO11" s="90">
        <f t="shared" si="10"/>
        <v>0.9779470345234583</v>
      </c>
      <c r="AP11" s="87"/>
      <c r="AQ11" s="88">
        <f>IF(AO11&lt;=1,1,0)</f>
        <v>1</v>
      </c>
      <c r="AR11" s="91">
        <f aca="true" t="shared" si="18" ref="AR11:AR42">AP11+AQ11</f>
        <v>1</v>
      </c>
      <c r="AS11" s="89">
        <v>61599.6</v>
      </c>
      <c r="AT11" s="81">
        <v>66609</v>
      </c>
      <c r="AU11" s="90">
        <f aca="true" t="shared" si="19" ref="AU11:AU42">AS11/AT11</f>
        <v>0.9247939467639508</v>
      </c>
      <c r="AV11" s="87"/>
      <c r="AW11" s="88">
        <f>IF(AU11&lt;=1,1,0)</f>
        <v>1</v>
      </c>
      <c r="AX11" s="91">
        <f t="shared" si="11"/>
        <v>1</v>
      </c>
      <c r="AY11" s="92">
        <f t="shared" si="12"/>
        <v>6.5</v>
      </c>
      <c r="AZ11" s="93"/>
      <c r="BA11" s="74">
        <v>83056.724</v>
      </c>
      <c r="BC11" s="75">
        <f t="shared" si="13"/>
        <v>0.6231330973262491</v>
      </c>
      <c r="BD11" s="7">
        <f aca="true" t="shared" si="20" ref="BD11:BD42">IF(($BC11&lt;=4.9%),1,0)</f>
        <v>0</v>
      </c>
      <c r="BE11" s="76">
        <f aca="true" t="shared" si="21" ref="BE11:BE42">IF(AND(BC11&gt;5%,BC11&lt;19.9%),1,0)</f>
        <v>0</v>
      </c>
      <c r="BF11" s="76">
        <f aca="true" t="shared" si="22" ref="BF11:BF42">IF(AND(BC11&gt;20%,BC11&lt;49.9%),1,0)</f>
        <v>0</v>
      </c>
      <c r="BG11" s="76">
        <f aca="true" t="shared" si="23" ref="BG11:BG42">IF(AND(BC11&gt;50%,BC11&lt;89.9%),1,0)</f>
        <v>1</v>
      </c>
      <c r="BH11" s="7">
        <f aca="true" t="shared" si="24" ref="BH11:BH42">IF((BC11&gt;=90%),1,0)</f>
        <v>0</v>
      </c>
    </row>
    <row r="12" spans="1:60" ht="15">
      <c r="A12" s="94" t="s">
        <v>71</v>
      </c>
      <c r="B12" s="52">
        <v>0</v>
      </c>
      <c r="C12" s="52">
        <v>3581.8304</v>
      </c>
      <c r="D12" s="52">
        <v>5000</v>
      </c>
      <c r="E12" s="53">
        <f t="shared" si="14"/>
        <v>0</v>
      </c>
      <c r="F12" s="95">
        <f>IF(E12&lt;=1,1,0)</f>
        <v>1</v>
      </c>
      <c r="G12" s="55"/>
      <c r="H12" s="56">
        <f t="shared" si="0"/>
        <v>1</v>
      </c>
      <c r="I12" s="57">
        <v>70000</v>
      </c>
      <c r="J12" s="52">
        <v>1008316.92788</v>
      </c>
      <c r="K12" s="58">
        <v>575802.69512</v>
      </c>
      <c r="L12" s="57">
        <v>166646.75869999998</v>
      </c>
      <c r="M12" s="57">
        <v>0</v>
      </c>
      <c r="N12" s="53">
        <f aca="true" t="shared" si="25" ref="N12:N41">(I12-M12)/(J12-K12-L12)</f>
        <v>0.26328907004323016</v>
      </c>
      <c r="O12" s="54">
        <f t="shared" si="1"/>
        <v>1</v>
      </c>
      <c r="P12" s="55"/>
      <c r="Q12" s="56">
        <f t="shared" si="2"/>
        <v>1</v>
      </c>
      <c r="R12" s="96">
        <v>7451.00773</v>
      </c>
      <c r="S12" s="52">
        <v>1011898.75828</v>
      </c>
      <c r="T12" s="58">
        <v>461047.28386</v>
      </c>
      <c r="U12" s="53">
        <f t="shared" si="3"/>
        <v>0.013526346167712963</v>
      </c>
      <c r="V12" s="54">
        <f t="shared" si="4"/>
        <v>1</v>
      </c>
      <c r="W12" s="55"/>
      <c r="X12" s="56">
        <f t="shared" si="15"/>
        <v>1</v>
      </c>
      <c r="Y12" s="52">
        <f t="shared" si="16"/>
        <v>3581.8304</v>
      </c>
      <c r="Z12" s="62"/>
      <c r="AA12" s="62">
        <v>8581.8304</v>
      </c>
      <c r="AB12" s="63"/>
      <c r="AC12" s="63">
        <f t="shared" si="5"/>
        <v>1008316.92788</v>
      </c>
      <c r="AD12" s="63">
        <f t="shared" si="5"/>
        <v>575802.69512</v>
      </c>
      <c r="AE12" s="63">
        <f t="shared" si="5"/>
        <v>166646.75869999998</v>
      </c>
      <c r="AF12" s="63">
        <f t="shared" si="17"/>
        <v>265867.4740599999</v>
      </c>
      <c r="AG12" s="63">
        <f t="shared" si="6"/>
        <v>26586.747405999995</v>
      </c>
      <c r="AH12" s="63">
        <f t="shared" si="7"/>
        <v>35168.577805999994</v>
      </c>
      <c r="AI12" s="64">
        <f t="shared" si="8"/>
        <v>0</v>
      </c>
      <c r="AJ12" s="65">
        <f aca="true" t="shared" si="26" ref="AJ12:AJ17">IF(AI12&lt;=0.1,1.5,0)</f>
        <v>1.5</v>
      </c>
      <c r="AK12" s="55"/>
      <c r="AL12" s="56">
        <f t="shared" si="9"/>
        <v>1.5</v>
      </c>
      <c r="AM12" s="68">
        <v>30659.8</v>
      </c>
      <c r="AN12" s="66">
        <v>30978</v>
      </c>
      <c r="AO12" s="69">
        <f t="shared" si="10"/>
        <v>0.9897281942023372</v>
      </c>
      <c r="AP12" s="70">
        <f aca="true" t="shared" si="27" ref="AP12:AP17">IF(AO12&lt;=1,1,0)</f>
        <v>1</v>
      </c>
      <c r="AQ12" s="55"/>
      <c r="AR12" s="71">
        <f t="shared" si="18"/>
        <v>1</v>
      </c>
      <c r="AS12" s="68">
        <v>59424.9</v>
      </c>
      <c r="AT12" s="66">
        <v>68014</v>
      </c>
      <c r="AU12" s="69">
        <f t="shared" si="19"/>
        <v>0.8737157055900256</v>
      </c>
      <c r="AV12" s="70">
        <f aca="true" t="shared" si="28" ref="AV12:AV17">IF(AU12&lt;=1,1,0)</f>
        <v>1</v>
      </c>
      <c r="AW12" s="55"/>
      <c r="AX12" s="71">
        <f t="shared" si="11"/>
        <v>1</v>
      </c>
      <c r="AY12" s="97">
        <f t="shared" si="12"/>
        <v>6.5</v>
      </c>
      <c r="AZ12" s="98"/>
      <c r="BA12" s="74">
        <v>42722.347</v>
      </c>
      <c r="BC12" s="75">
        <f t="shared" si="13"/>
        <v>0.38257028868268195</v>
      </c>
      <c r="BD12" s="7">
        <f t="shared" si="20"/>
        <v>0</v>
      </c>
      <c r="BE12" s="76">
        <f t="shared" si="21"/>
        <v>0</v>
      </c>
      <c r="BF12" s="76">
        <f t="shared" si="22"/>
        <v>1</v>
      </c>
      <c r="BG12" s="76">
        <f t="shared" si="23"/>
        <v>0</v>
      </c>
      <c r="BH12" s="7">
        <f t="shared" si="24"/>
        <v>0</v>
      </c>
    </row>
    <row r="13" spans="1:60" ht="15">
      <c r="A13" s="94" t="s">
        <v>72</v>
      </c>
      <c r="B13" s="52">
        <v>32000</v>
      </c>
      <c r="C13" s="52">
        <v>7190.033</v>
      </c>
      <c r="D13" s="52">
        <v>25000</v>
      </c>
      <c r="E13" s="53">
        <f t="shared" si="14"/>
        <v>0.9940965267106125</v>
      </c>
      <c r="F13" s="54">
        <f>IF(E13&lt;=1,1,0)</f>
        <v>1</v>
      </c>
      <c r="G13" s="55"/>
      <c r="H13" s="56">
        <f t="shared" si="0"/>
        <v>1</v>
      </c>
      <c r="I13" s="57">
        <v>32000</v>
      </c>
      <c r="J13" s="52">
        <v>615927.44373</v>
      </c>
      <c r="K13" s="58">
        <v>355194.993</v>
      </c>
      <c r="L13" s="57">
        <v>76362.42512</v>
      </c>
      <c r="M13" s="57">
        <v>0</v>
      </c>
      <c r="N13" s="53">
        <f t="shared" si="25"/>
        <v>0.1735640047460315</v>
      </c>
      <c r="O13" s="54">
        <f t="shared" si="1"/>
        <v>1</v>
      </c>
      <c r="P13" s="55"/>
      <c r="Q13" s="56">
        <f t="shared" si="2"/>
        <v>1</v>
      </c>
      <c r="R13" s="96">
        <v>2306.30044</v>
      </c>
      <c r="S13" s="52">
        <v>623117.47673</v>
      </c>
      <c r="T13" s="58">
        <v>255608.51684</v>
      </c>
      <c r="U13" s="53">
        <f t="shared" si="3"/>
        <v>0.006275494455129215</v>
      </c>
      <c r="V13" s="54">
        <f t="shared" si="4"/>
        <v>1</v>
      </c>
      <c r="W13" s="55"/>
      <c r="X13" s="56">
        <f t="shared" si="15"/>
        <v>1</v>
      </c>
      <c r="Y13" s="52">
        <f t="shared" si="16"/>
        <v>7190.033</v>
      </c>
      <c r="Z13" s="62"/>
      <c r="AA13" s="62">
        <v>190.033</v>
      </c>
      <c r="AB13" s="63"/>
      <c r="AC13" s="63">
        <f t="shared" si="5"/>
        <v>615927.44373</v>
      </c>
      <c r="AD13" s="63">
        <f t="shared" si="5"/>
        <v>355194.993</v>
      </c>
      <c r="AE13" s="63">
        <f t="shared" si="5"/>
        <v>76362.42512</v>
      </c>
      <c r="AF13" s="63">
        <f t="shared" si="17"/>
        <v>184370.02561000004</v>
      </c>
      <c r="AG13" s="63">
        <f t="shared" si="6"/>
        <v>18437.002561000005</v>
      </c>
      <c r="AH13" s="63">
        <f t="shared" si="7"/>
        <v>18627.035561000004</v>
      </c>
      <c r="AI13" s="64">
        <f t="shared" si="8"/>
        <v>0.037967126038194396</v>
      </c>
      <c r="AJ13" s="65">
        <f t="shared" si="26"/>
        <v>1.5</v>
      </c>
      <c r="AK13" s="55"/>
      <c r="AL13" s="56">
        <f t="shared" si="9"/>
        <v>1.5</v>
      </c>
      <c r="AM13" s="68">
        <v>17732.5</v>
      </c>
      <c r="AN13" s="66">
        <v>17736</v>
      </c>
      <c r="AO13" s="99">
        <f t="shared" si="10"/>
        <v>0.9998026612539468</v>
      </c>
      <c r="AP13" s="70">
        <f t="shared" si="27"/>
        <v>1</v>
      </c>
      <c r="AQ13" s="55"/>
      <c r="AR13" s="71">
        <f t="shared" si="18"/>
        <v>1</v>
      </c>
      <c r="AS13" s="68">
        <v>33571.7</v>
      </c>
      <c r="AT13" s="66">
        <v>40768</v>
      </c>
      <c r="AU13" s="99">
        <f t="shared" si="19"/>
        <v>0.8234816522762951</v>
      </c>
      <c r="AV13" s="70">
        <f t="shared" si="28"/>
        <v>1</v>
      </c>
      <c r="AW13" s="55"/>
      <c r="AX13" s="71">
        <f t="shared" si="11"/>
        <v>1</v>
      </c>
      <c r="AY13" s="97">
        <f t="shared" si="12"/>
        <v>6.5</v>
      </c>
      <c r="AZ13" s="98"/>
      <c r="BA13" s="74">
        <v>11194.516</v>
      </c>
      <c r="BC13" s="75">
        <f t="shared" si="13"/>
        <v>0.24299845105480627</v>
      </c>
      <c r="BD13" s="7">
        <f t="shared" si="20"/>
        <v>0</v>
      </c>
      <c r="BE13" s="76">
        <f t="shared" si="21"/>
        <v>0</v>
      </c>
      <c r="BF13" s="76">
        <f t="shared" si="22"/>
        <v>1</v>
      </c>
      <c r="BG13" s="76">
        <f t="shared" si="23"/>
        <v>0</v>
      </c>
      <c r="BH13" s="7">
        <f t="shared" si="24"/>
        <v>0</v>
      </c>
    </row>
    <row r="14" spans="1:60" s="8" customFormat="1" ht="15">
      <c r="A14" s="100" t="s">
        <v>73</v>
      </c>
      <c r="B14" s="52">
        <v>7000</v>
      </c>
      <c r="C14" s="52">
        <v>-7202.532190000001</v>
      </c>
      <c r="D14" s="52">
        <v>7000</v>
      </c>
      <c r="E14" s="59">
        <f>IF(AND(B14=0,D14=0),0,B14/(IF(C14&gt;0,C14,0)+D14))</f>
        <v>1</v>
      </c>
      <c r="F14" s="54">
        <f>IF(E14&lt;=1,1,0)</f>
        <v>1</v>
      </c>
      <c r="G14" s="66"/>
      <c r="H14" s="67">
        <f t="shared" si="0"/>
        <v>1</v>
      </c>
      <c r="I14" s="52">
        <v>7000</v>
      </c>
      <c r="J14" s="52">
        <v>299508.84839</v>
      </c>
      <c r="K14" s="58">
        <v>188793.33769999997</v>
      </c>
      <c r="L14" s="52">
        <v>41178.2922</v>
      </c>
      <c r="M14" s="52">
        <v>0</v>
      </c>
      <c r="N14" s="59">
        <f t="shared" si="25"/>
        <v>0.10066551628041683</v>
      </c>
      <c r="O14" s="54">
        <f t="shared" si="1"/>
        <v>1</v>
      </c>
      <c r="P14" s="66"/>
      <c r="Q14" s="67">
        <f t="shared" si="2"/>
        <v>1</v>
      </c>
      <c r="R14" s="96">
        <v>499.0976</v>
      </c>
      <c r="S14" s="52">
        <v>292306.3162</v>
      </c>
      <c r="T14" s="58">
        <v>114942.22894</v>
      </c>
      <c r="U14" s="59">
        <f t="shared" si="3"/>
        <v>0.0028139721389503574</v>
      </c>
      <c r="V14" s="54">
        <f t="shared" si="4"/>
        <v>1</v>
      </c>
      <c r="W14" s="66"/>
      <c r="X14" s="67">
        <f t="shared" si="15"/>
        <v>1</v>
      </c>
      <c r="Y14" s="52">
        <f t="shared" si="16"/>
        <v>-7202.532190000001</v>
      </c>
      <c r="Z14" s="62"/>
      <c r="AA14" s="62">
        <v>-7202.532190000001</v>
      </c>
      <c r="AB14" s="62"/>
      <c r="AC14" s="62">
        <f t="shared" si="5"/>
        <v>299508.84839</v>
      </c>
      <c r="AD14" s="62">
        <f t="shared" si="5"/>
        <v>188793.33769999997</v>
      </c>
      <c r="AE14" s="62">
        <f t="shared" si="5"/>
        <v>41178.2922</v>
      </c>
      <c r="AF14" s="62">
        <f t="shared" si="17"/>
        <v>69537.21849000003</v>
      </c>
      <c r="AG14" s="63">
        <f>AF14*5%</f>
        <v>3476.8609245000016</v>
      </c>
      <c r="AH14" s="62">
        <f t="shared" si="7"/>
        <v>3476.8609245000016</v>
      </c>
      <c r="AI14" s="101">
        <f t="shared" si="8"/>
        <v>0</v>
      </c>
      <c r="AJ14" s="65">
        <f t="shared" si="26"/>
        <v>1.5</v>
      </c>
      <c r="AK14" s="102"/>
      <c r="AL14" s="67">
        <f t="shared" si="9"/>
        <v>1.5</v>
      </c>
      <c r="AM14" s="68">
        <v>9458</v>
      </c>
      <c r="AN14" s="66">
        <v>9458</v>
      </c>
      <c r="AO14" s="99">
        <f t="shared" si="10"/>
        <v>1</v>
      </c>
      <c r="AP14" s="70">
        <f t="shared" si="27"/>
        <v>1</v>
      </c>
      <c r="AQ14" s="102"/>
      <c r="AR14" s="103">
        <f t="shared" si="18"/>
        <v>1</v>
      </c>
      <c r="AS14" s="68">
        <v>22797.6</v>
      </c>
      <c r="AT14" s="66">
        <v>22910</v>
      </c>
      <c r="AU14" s="99">
        <f t="shared" si="19"/>
        <v>0.995093845482322</v>
      </c>
      <c r="AV14" s="70">
        <f t="shared" si="28"/>
        <v>1</v>
      </c>
      <c r="AW14" s="102"/>
      <c r="AX14" s="103">
        <f t="shared" si="11"/>
        <v>1</v>
      </c>
      <c r="AY14" s="97">
        <f t="shared" si="12"/>
        <v>6.5</v>
      </c>
      <c r="AZ14" s="98"/>
      <c r="BA14" s="74">
        <v>28656.571</v>
      </c>
      <c r="BB14" s="7"/>
      <c r="BC14" s="75">
        <f t="shared" si="13"/>
        <v>0.3783721206364654</v>
      </c>
      <c r="BD14" s="7">
        <f t="shared" si="20"/>
        <v>0</v>
      </c>
      <c r="BE14" s="76">
        <f t="shared" si="21"/>
        <v>0</v>
      </c>
      <c r="BF14" s="76">
        <f t="shared" si="22"/>
        <v>1</v>
      </c>
      <c r="BG14" s="76">
        <f t="shared" si="23"/>
        <v>0</v>
      </c>
      <c r="BH14" s="7">
        <f t="shared" si="24"/>
        <v>0</v>
      </c>
    </row>
    <row r="15" spans="1:60" s="8" customFormat="1" ht="15">
      <c r="A15" s="77" t="s">
        <v>74</v>
      </c>
      <c r="B15" s="78">
        <v>0</v>
      </c>
      <c r="C15" s="78">
        <v>164.47387</v>
      </c>
      <c r="D15" s="78">
        <v>0</v>
      </c>
      <c r="E15" s="79">
        <f t="shared" si="14"/>
        <v>0</v>
      </c>
      <c r="F15" s="80"/>
      <c r="G15" s="81">
        <f>IF(E15&lt;=1,1,0)</f>
        <v>1</v>
      </c>
      <c r="H15" s="82">
        <f t="shared" si="0"/>
        <v>1</v>
      </c>
      <c r="I15" s="78">
        <v>0</v>
      </c>
      <c r="J15" s="78">
        <v>333231.42349</v>
      </c>
      <c r="K15" s="83">
        <v>254061.19851</v>
      </c>
      <c r="L15" s="78">
        <v>51927.17652</v>
      </c>
      <c r="M15" s="78">
        <v>0</v>
      </c>
      <c r="N15" s="79">
        <f t="shared" si="25"/>
        <v>0</v>
      </c>
      <c r="O15" s="80"/>
      <c r="P15" s="81">
        <f>IF(N15&lt;=0.5,1,0)</f>
        <v>1</v>
      </c>
      <c r="Q15" s="82">
        <f t="shared" si="2"/>
        <v>1</v>
      </c>
      <c r="R15" s="84">
        <v>0</v>
      </c>
      <c r="S15" s="78">
        <v>333395.89736</v>
      </c>
      <c r="T15" s="83">
        <v>141625.99681</v>
      </c>
      <c r="U15" s="79">
        <f t="shared" si="3"/>
        <v>0</v>
      </c>
      <c r="V15" s="80"/>
      <c r="W15" s="81">
        <f>IF(U15&lt;=0.15,1,0)</f>
        <v>1</v>
      </c>
      <c r="X15" s="82">
        <f t="shared" si="15"/>
        <v>1</v>
      </c>
      <c r="Y15" s="78">
        <f t="shared" si="16"/>
        <v>164.47387</v>
      </c>
      <c r="Z15" s="85"/>
      <c r="AA15" s="85">
        <v>164.47387</v>
      </c>
      <c r="AB15" s="85"/>
      <c r="AC15" s="85">
        <f t="shared" si="5"/>
        <v>333231.42349</v>
      </c>
      <c r="AD15" s="85">
        <f t="shared" si="5"/>
        <v>254061.19851</v>
      </c>
      <c r="AE15" s="85">
        <f t="shared" si="5"/>
        <v>51927.17652</v>
      </c>
      <c r="AF15" s="85">
        <f t="shared" si="17"/>
        <v>27243.048460000027</v>
      </c>
      <c r="AG15" s="85">
        <f>AF15*5%</f>
        <v>1362.1524230000014</v>
      </c>
      <c r="AH15" s="85">
        <f t="shared" si="7"/>
        <v>1526.6262930000014</v>
      </c>
      <c r="AI15" s="86">
        <f t="shared" si="8"/>
        <v>0</v>
      </c>
      <c r="AJ15" s="87"/>
      <c r="AK15" s="88">
        <f>IF(AI15&lt;=0.05,1.5,0)</f>
        <v>1.5</v>
      </c>
      <c r="AL15" s="82">
        <f t="shared" si="9"/>
        <v>1.5</v>
      </c>
      <c r="AM15" s="89">
        <v>12204.6</v>
      </c>
      <c r="AN15" s="81">
        <v>12266</v>
      </c>
      <c r="AO15" s="90">
        <f t="shared" si="10"/>
        <v>0.994994293168107</v>
      </c>
      <c r="AP15" s="87"/>
      <c r="AQ15" s="88">
        <f>IF(AO15&lt;=1,1,0)</f>
        <v>1</v>
      </c>
      <c r="AR15" s="91">
        <f t="shared" si="18"/>
        <v>1</v>
      </c>
      <c r="AS15" s="89">
        <v>31805</v>
      </c>
      <c r="AT15" s="81">
        <v>31813</v>
      </c>
      <c r="AU15" s="90">
        <f t="shared" si="19"/>
        <v>0.999748530474963</v>
      </c>
      <c r="AV15" s="87"/>
      <c r="AW15" s="88">
        <f>IF(AU15&lt;=1,1,0)</f>
        <v>1</v>
      </c>
      <c r="AX15" s="91">
        <f t="shared" si="11"/>
        <v>1</v>
      </c>
      <c r="AY15" s="92">
        <f t="shared" si="12"/>
        <v>6.5</v>
      </c>
      <c r="AZ15" s="98"/>
      <c r="BA15" s="74">
        <v>41296.51</v>
      </c>
      <c r="BB15" s="7"/>
      <c r="BC15" s="75">
        <f t="shared" si="13"/>
        <v>0.48653990722137935</v>
      </c>
      <c r="BD15" s="7">
        <f t="shared" si="20"/>
        <v>0</v>
      </c>
      <c r="BE15" s="76">
        <f t="shared" si="21"/>
        <v>0</v>
      </c>
      <c r="BF15" s="76">
        <f t="shared" si="22"/>
        <v>1</v>
      </c>
      <c r="BG15" s="76">
        <f t="shared" si="23"/>
        <v>0</v>
      </c>
      <c r="BH15" s="7">
        <f t="shared" si="24"/>
        <v>0</v>
      </c>
    </row>
    <row r="16" spans="1:60" s="8" customFormat="1" ht="15">
      <c r="A16" s="100" t="s">
        <v>75</v>
      </c>
      <c r="B16" s="52">
        <v>62714.5</v>
      </c>
      <c r="C16" s="52">
        <v>-9330.02921</v>
      </c>
      <c r="D16" s="52">
        <v>63714.5</v>
      </c>
      <c r="E16" s="59">
        <f t="shared" si="14"/>
        <v>0.9843049855213492</v>
      </c>
      <c r="F16" s="54">
        <f>IF(E16&lt;=1,1,0)</f>
        <v>1</v>
      </c>
      <c r="G16" s="66"/>
      <c r="H16" s="67">
        <f t="shared" si="0"/>
        <v>1</v>
      </c>
      <c r="I16" s="52">
        <v>61714.5</v>
      </c>
      <c r="J16" s="52">
        <v>1123207.61865</v>
      </c>
      <c r="K16" s="58">
        <v>781380.92527</v>
      </c>
      <c r="L16" s="52">
        <v>165911.60848</v>
      </c>
      <c r="M16" s="52">
        <v>0</v>
      </c>
      <c r="N16" s="59">
        <f t="shared" si="25"/>
        <v>0.35081982898215897</v>
      </c>
      <c r="O16" s="54">
        <f t="shared" si="1"/>
        <v>1</v>
      </c>
      <c r="P16" s="66"/>
      <c r="Q16" s="67">
        <f t="shared" si="2"/>
        <v>1</v>
      </c>
      <c r="R16" s="96">
        <v>5065.353160000001</v>
      </c>
      <c r="S16" s="52">
        <v>1113877.58944</v>
      </c>
      <c r="T16" s="58">
        <v>517887.7956</v>
      </c>
      <c r="U16" s="59">
        <f t="shared" si="3"/>
        <v>0.008499060239544724</v>
      </c>
      <c r="V16" s="54">
        <f t="shared" si="4"/>
        <v>1</v>
      </c>
      <c r="W16" s="66"/>
      <c r="X16" s="67">
        <f t="shared" si="15"/>
        <v>1</v>
      </c>
      <c r="Y16" s="52">
        <f t="shared" si="16"/>
        <v>-9330.02921</v>
      </c>
      <c r="Z16" s="62"/>
      <c r="AA16" s="62">
        <v>-8330.02921</v>
      </c>
      <c r="AB16" s="62"/>
      <c r="AC16" s="62">
        <f t="shared" si="5"/>
        <v>1123207.61865</v>
      </c>
      <c r="AD16" s="62">
        <f t="shared" si="5"/>
        <v>781380.92527</v>
      </c>
      <c r="AE16" s="62">
        <f t="shared" si="5"/>
        <v>165911.60848</v>
      </c>
      <c r="AF16" s="62">
        <f t="shared" si="17"/>
        <v>175915.08490000007</v>
      </c>
      <c r="AG16" s="63">
        <f t="shared" si="6"/>
        <v>17591.508490000007</v>
      </c>
      <c r="AH16" s="62">
        <f>IF(AA16&gt;0,AA16,0)+AG16+IF(AB16&gt;0,AB16,0)</f>
        <v>17591.508490000007</v>
      </c>
      <c r="AI16" s="101">
        <f t="shared" si="8"/>
        <v>0</v>
      </c>
      <c r="AJ16" s="65">
        <f t="shared" si="26"/>
        <v>1.5</v>
      </c>
      <c r="AK16" s="66"/>
      <c r="AL16" s="67">
        <f t="shared" si="9"/>
        <v>1.5</v>
      </c>
      <c r="AM16" s="68">
        <v>26272.5</v>
      </c>
      <c r="AN16" s="66">
        <v>27654</v>
      </c>
      <c r="AO16" s="99">
        <f t="shared" si="10"/>
        <v>0.9500433933608158</v>
      </c>
      <c r="AP16" s="70">
        <f t="shared" si="27"/>
        <v>1</v>
      </c>
      <c r="AQ16" s="66"/>
      <c r="AR16" s="103">
        <f t="shared" si="18"/>
        <v>1</v>
      </c>
      <c r="AS16" s="68">
        <v>67469.1</v>
      </c>
      <c r="AT16" s="66">
        <v>67478</v>
      </c>
      <c r="AU16" s="99">
        <f t="shared" si="19"/>
        <v>0.9998681051602004</v>
      </c>
      <c r="AV16" s="70">
        <f t="shared" si="28"/>
        <v>1</v>
      </c>
      <c r="AW16" s="66"/>
      <c r="AX16" s="103">
        <f t="shared" si="11"/>
        <v>1</v>
      </c>
      <c r="AY16" s="97">
        <f t="shared" si="12"/>
        <v>6.5</v>
      </c>
      <c r="AZ16" s="98"/>
      <c r="BA16" s="74">
        <v>28012.954</v>
      </c>
      <c r="BB16" s="7"/>
      <c r="BC16" s="75">
        <f t="shared" si="13"/>
        <v>0.3203671102374945</v>
      </c>
      <c r="BD16" s="7">
        <f t="shared" si="20"/>
        <v>0</v>
      </c>
      <c r="BE16" s="76">
        <f t="shared" si="21"/>
        <v>0</v>
      </c>
      <c r="BF16" s="76">
        <f t="shared" si="22"/>
        <v>1</v>
      </c>
      <c r="BG16" s="76">
        <f t="shared" si="23"/>
        <v>0</v>
      </c>
      <c r="BH16" s="7">
        <f t="shared" si="24"/>
        <v>0</v>
      </c>
    </row>
    <row r="17" spans="1:60" s="8" customFormat="1" ht="15">
      <c r="A17" s="100" t="s">
        <v>76</v>
      </c>
      <c r="B17" s="52">
        <v>0</v>
      </c>
      <c r="C17" s="52">
        <v>-1538.07764</v>
      </c>
      <c r="D17" s="52">
        <v>0</v>
      </c>
      <c r="E17" s="59">
        <f t="shared" si="14"/>
        <v>0</v>
      </c>
      <c r="F17" s="54">
        <f>IF(E17&lt;=1,1,0)</f>
        <v>1</v>
      </c>
      <c r="G17" s="66"/>
      <c r="H17" s="67">
        <f t="shared" si="0"/>
        <v>1</v>
      </c>
      <c r="I17" s="52">
        <v>0</v>
      </c>
      <c r="J17" s="52">
        <v>334831.0697</v>
      </c>
      <c r="K17" s="58">
        <v>216477.10282</v>
      </c>
      <c r="L17" s="52">
        <v>41823.65034</v>
      </c>
      <c r="M17" s="52">
        <v>0</v>
      </c>
      <c r="N17" s="59">
        <f t="shared" si="25"/>
        <v>0</v>
      </c>
      <c r="O17" s="54">
        <f>IF(N17&lt;=1,1,0)</f>
        <v>1</v>
      </c>
      <c r="P17" s="66"/>
      <c r="Q17" s="67">
        <f>O17+P17</f>
        <v>1</v>
      </c>
      <c r="R17" s="96">
        <v>0</v>
      </c>
      <c r="S17" s="52">
        <v>333292.99206</v>
      </c>
      <c r="T17" s="58">
        <v>159093.90759000002</v>
      </c>
      <c r="U17" s="59">
        <f t="shared" si="3"/>
        <v>0</v>
      </c>
      <c r="V17" s="54">
        <f>IF(U17&lt;=0.15,1,0)</f>
        <v>1</v>
      </c>
      <c r="W17" s="66"/>
      <c r="X17" s="67">
        <f t="shared" si="15"/>
        <v>1</v>
      </c>
      <c r="Y17" s="52">
        <f t="shared" si="16"/>
        <v>-1538.07764</v>
      </c>
      <c r="Z17" s="62"/>
      <c r="AA17" s="62">
        <v>-1538.07764</v>
      </c>
      <c r="AB17" s="62"/>
      <c r="AC17" s="62">
        <f t="shared" si="5"/>
        <v>334831.0697</v>
      </c>
      <c r="AD17" s="62">
        <f t="shared" si="5"/>
        <v>216477.10282</v>
      </c>
      <c r="AE17" s="62">
        <f t="shared" si="5"/>
        <v>41823.65034</v>
      </c>
      <c r="AF17" s="62">
        <f t="shared" si="17"/>
        <v>76530.31654</v>
      </c>
      <c r="AG17" s="63">
        <f t="shared" si="6"/>
        <v>7653.031654</v>
      </c>
      <c r="AH17" s="62">
        <f aca="true" t="shared" si="29" ref="AH17:AH42">IF(AA17&gt;0,AA17,0)+AG17+IF(AB17&gt;0,AB17,0)</f>
        <v>7653.031654</v>
      </c>
      <c r="AI17" s="101">
        <f t="shared" si="8"/>
        <v>0</v>
      </c>
      <c r="AJ17" s="65">
        <f t="shared" si="26"/>
        <v>1.5</v>
      </c>
      <c r="AK17" s="66"/>
      <c r="AL17" s="67">
        <f t="shared" si="9"/>
        <v>1.5</v>
      </c>
      <c r="AM17" s="68">
        <v>10709.2</v>
      </c>
      <c r="AN17" s="66">
        <v>11489</v>
      </c>
      <c r="AO17" s="99">
        <f t="shared" si="10"/>
        <v>0.9321263817564628</v>
      </c>
      <c r="AP17" s="70">
        <f t="shared" si="27"/>
        <v>1</v>
      </c>
      <c r="AQ17" s="66"/>
      <c r="AR17" s="103">
        <f>AP17+AQ17</f>
        <v>1</v>
      </c>
      <c r="AS17" s="68">
        <v>26140.2</v>
      </c>
      <c r="AT17" s="66">
        <v>27189</v>
      </c>
      <c r="AU17" s="99">
        <f t="shared" si="19"/>
        <v>0.9614255765199161</v>
      </c>
      <c r="AV17" s="70">
        <f t="shared" si="28"/>
        <v>1</v>
      </c>
      <c r="AW17" s="66"/>
      <c r="AX17" s="103">
        <f t="shared" si="11"/>
        <v>1</v>
      </c>
      <c r="AY17" s="97">
        <f t="shared" si="12"/>
        <v>6.5</v>
      </c>
      <c r="AZ17" s="93"/>
      <c r="BA17" s="74">
        <v>16814.179</v>
      </c>
      <c r="BB17" s="7"/>
      <c r="BC17" s="75">
        <f t="shared" si="13"/>
        <v>0.3336677833871959</v>
      </c>
      <c r="BD17" s="7">
        <f t="shared" si="20"/>
        <v>0</v>
      </c>
      <c r="BE17" s="76">
        <f t="shared" si="21"/>
        <v>0</v>
      </c>
      <c r="BF17" s="76">
        <f t="shared" si="22"/>
        <v>1</v>
      </c>
      <c r="BG17" s="76">
        <f t="shared" si="23"/>
        <v>0</v>
      </c>
      <c r="BH17" s="7">
        <f t="shared" si="24"/>
        <v>0</v>
      </c>
    </row>
    <row r="18" spans="1:60" s="8" customFormat="1" ht="15">
      <c r="A18" s="77" t="s">
        <v>77</v>
      </c>
      <c r="B18" s="78">
        <v>0</v>
      </c>
      <c r="C18" s="78">
        <v>5827.89193</v>
      </c>
      <c r="D18" s="78">
        <v>0</v>
      </c>
      <c r="E18" s="79">
        <f t="shared" si="14"/>
        <v>0</v>
      </c>
      <c r="F18" s="80"/>
      <c r="G18" s="81">
        <f aca="true" t="shared" si="30" ref="G18:G33">IF(E18&lt;=1,1,0)</f>
        <v>1</v>
      </c>
      <c r="H18" s="82">
        <f t="shared" si="0"/>
        <v>1</v>
      </c>
      <c r="I18" s="78">
        <v>0</v>
      </c>
      <c r="J18" s="78">
        <v>203498.70174000002</v>
      </c>
      <c r="K18" s="83">
        <v>170011.59444999998</v>
      </c>
      <c r="L18" s="78">
        <v>18683.785</v>
      </c>
      <c r="M18" s="78">
        <v>0</v>
      </c>
      <c r="N18" s="79">
        <f t="shared" si="25"/>
        <v>0</v>
      </c>
      <c r="O18" s="80"/>
      <c r="P18" s="81">
        <f aca="true" t="shared" si="31" ref="P18:P23">IF(N18&lt;=0.5,1,0)</f>
        <v>1</v>
      </c>
      <c r="Q18" s="82">
        <f t="shared" si="2"/>
        <v>1</v>
      </c>
      <c r="R18" s="84">
        <v>0</v>
      </c>
      <c r="S18" s="78">
        <v>209326.59366999997</v>
      </c>
      <c r="T18" s="83">
        <v>93559.48956</v>
      </c>
      <c r="U18" s="79">
        <f t="shared" si="3"/>
        <v>0</v>
      </c>
      <c r="V18" s="80"/>
      <c r="W18" s="81">
        <f aca="true" t="shared" si="32" ref="W18:W23">IF(U18&lt;=0.15,1,0)</f>
        <v>1</v>
      </c>
      <c r="X18" s="82">
        <f t="shared" si="15"/>
        <v>1</v>
      </c>
      <c r="Y18" s="78">
        <f t="shared" si="16"/>
        <v>5827.89193</v>
      </c>
      <c r="Z18" s="85"/>
      <c r="AA18" s="85">
        <v>5827.89193</v>
      </c>
      <c r="AB18" s="85"/>
      <c r="AC18" s="85">
        <f t="shared" si="5"/>
        <v>203498.70174000002</v>
      </c>
      <c r="AD18" s="85">
        <f t="shared" si="5"/>
        <v>170011.59444999998</v>
      </c>
      <c r="AE18" s="85">
        <f t="shared" si="5"/>
        <v>18683.785</v>
      </c>
      <c r="AF18" s="85">
        <f t="shared" si="17"/>
        <v>14803.322290000044</v>
      </c>
      <c r="AG18" s="85">
        <f>AF18*5%</f>
        <v>740.1661145000022</v>
      </c>
      <c r="AH18" s="85">
        <f t="shared" si="29"/>
        <v>6568.058044500002</v>
      </c>
      <c r="AI18" s="86">
        <f t="shared" si="8"/>
        <v>0</v>
      </c>
      <c r="AJ18" s="80"/>
      <c r="AK18" s="88">
        <f>IF(AI18&lt;=0.05,1.5,0)</f>
        <v>1.5</v>
      </c>
      <c r="AL18" s="82">
        <f t="shared" si="9"/>
        <v>1.5</v>
      </c>
      <c r="AM18" s="89">
        <v>7814.2</v>
      </c>
      <c r="AN18" s="81">
        <v>10906</v>
      </c>
      <c r="AO18" s="90">
        <f t="shared" si="10"/>
        <v>0.7165046763249587</v>
      </c>
      <c r="AP18" s="80"/>
      <c r="AQ18" s="88">
        <f aca="true" t="shared" si="33" ref="AQ18:AQ33">IF(AO18&lt;=1,1,0)</f>
        <v>1</v>
      </c>
      <c r="AR18" s="91">
        <f t="shared" si="18"/>
        <v>1</v>
      </c>
      <c r="AS18" s="89">
        <v>22282.7</v>
      </c>
      <c r="AT18" s="81">
        <v>27242</v>
      </c>
      <c r="AU18" s="90">
        <f t="shared" si="19"/>
        <v>0.8179538947213861</v>
      </c>
      <c r="AV18" s="80"/>
      <c r="AW18" s="88">
        <f aca="true" t="shared" si="34" ref="AW18:AW33">IF(AU18&lt;=1,1,0)</f>
        <v>1</v>
      </c>
      <c r="AX18" s="91">
        <f t="shared" si="11"/>
        <v>1</v>
      </c>
      <c r="AY18" s="92">
        <f t="shared" si="12"/>
        <v>6.5</v>
      </c>
      <c r="AZ18" s="93"/>
      <c r="BA18" s="74">
        <v>35456.452</v>
      </c>
      <c r="BB18" s="7"/>
      <c r="BC18" s="75">
        <f t="shared" si="13"/>
        <v>0.4924561121227418</v>
      </c>
      <c r="BD18" s="7">
        <f t="shared" si="20"/>
        <v>0</v>
      </c>
      <c r="BE18" s="76">
        <f t="shared" si="21"/>
        <v>0</v>
      </c>
      <c r="BF18" s="76">
        <f t="shared" si="22"/>
        <v>1</v>
      </c>
      <c r="BG18" s="76">
        <f t="shared" si="23"/>
        <v>0</v>
      </c>
      <c r="BH18" s="7">
        <f t="shared" si="24"/>
        <v>0</v>
      </c>
    </row>
    <row r="19" spans="1:60" s="8" customFormat="1" ht="15">
      <c r="A19" s="77" t="s">
        <v>78</v>
      </c>
      <c r="B19" s="78">
        <v>0</v>
      </c>
      <c r="C19" s="78">
        <v>1448.1251000000002</v>
      </c>
      <c r="D19" s="78">
        <v>0</v>
      </c>
      <c r="E19" s="79">
        <f t="shared" si="14"/>
        <v>0</v>
      </c>
      <c r="F19" s="80"/>
      <c r="G19" s="81">
        <f t="shared" si="30"/>
        <v>1</v>
      </c>
      <c r="H19" s="82">
        <f t="shared" si="0"/>
        <v>1</v>
      </c>
      <c r="I19" s="78">
        <v>0</v>
      </c>
      <c r="J19" s="78">
        <v>269033.70642</v>
      </c>
      <c r="K19" s="83">
        <v>188259.99391999998</v>
      </c>
      <c r="L19" s="78">
        <v>44186.402630000004</v>
      </c>
      <c r="M19" s="78">
        <v>0</v>
      </c>
      <c r="N19" s="79">
        <f t="shared" si="25"/>
        <v>0</v>
      </c>
      <c r="O19" s="80"/>
      <c r="P19" s="81">
        <f t="shared" si="31"/>
        <v>1</v>
      </c>
      <c r="Q19" s="82">
        <f t="shared" si="2"/>
        <v>1</v>
      </c>
      <c r="R19" s="84">
        <v>0</v>
      </c>
      <c r="S19" s="78">
        <v>270481.83152</v>
      </c>
      <c r="T19" s="83">
        <v>124404.47392</v>
      </c>
      <c r="U19" s="79">
        <f t="shared" si="3"/>
        <v>0</v>
      </c>
      <c r="V19" s="80"/>
      <c r="W19" s="81">
        <f t="shared" si="32"/>
        <v>1</v>
      </c>
      <c r="X19" s="82">
        <f t="shared" si="15"/>
        <v>1</v>
      </c>
      <c r="Y19" s="78">
        <f t="shared" si="16"/>
        <v>1448.1251000000002</v>
      </c>
      <c r="Z19" s="85"/>
      <c r="AA19" s="85">
        <v>1448.1251000000002</v>
      </c>
      <c r="AB19" s="85"/>
      <c r="AC19" s="85">
        <f t="shared" si="5"/>
        <v>269033.70642</v>
      </c>
      <c r="AD19" s="85">
        <f t="shared" si="5"/>
        <v>188259.99391999998</v>
      </c>
      <c r="AE19" s="85">
        <f t="shared" si="5"/>
        <v>44186.402630000004</v>
      </c>
      <c r="AF19" s="85">
        <f t="shared" si="17"/>
        <v>36587.30987000002</v>
      </c>
      <c r="AG19" s="85">
        <f>AF19*10%</f>
        <v>3658.730987000002</v>
      </c>
      <c r="AH19" s="85">
        <f t="shared" si="29"/>
        <v>5106.856087000002</v>
      </c>
      <c r="AI19" s="86">
        <f t="shared" si="8"/>
        <v>0</v>
      </c>
      <c r="AJ19" s="87"/>
      <c r="AK19" s="88">
        <f aca="true" t="shared" si="35" ref="AK19:AK33">IF(AI19&lt;=0.05,1.5,0)</f>
        <v>1.5</v>
      </c>
      <c r="AL19" s="82">
        <f t="shared" si="9"/>
        <v>1.5</v>
      </c>
      <c r="AM19" s="89">
        <v>10971.8</v>
      </c>
      <c r="AN19" s="81">
        <v>12266</v>
      </c>
      <c r="AO19" s="90">
        <f t="shared" si="10"/>
        <v>0.8944888309147235</v>
      </c>
      <c r="AP19" s="87"/>
      <c r="AQ19" s="88">
        <f t="shared" si="33"/>
        <v>1</v>
      </c>
      <c r="AR19" s="91">
        <f t="shared" si="18"/>
        <v>1</v>
      </c>
      <c r="AS19" s="89">
        <v>28921</v>
      </c>
      <c r="AT19" s="81">
        <v>30284</v>
      </c>
      <c r="AU19" s="90">
        <f t="shared" si="19"/>
        <v>0.954992735437855</v>
      </c>
      <c r="AV19" s="87"/>
      <c r="AW19" s="88">
        <f t="shared" si="34"/>
        <v>1</v>
      </c>
      <c r="AX19" s="91">
        <f t="shared" si="11"/>
        <v>1</v>
      </c>
      <c r="AY19" s="92">
        <f t="shared" si="12"/>
        <v>6.5</v>
      </c>
      <c r="AZ19" s="93"/>
      <c r="BA19" s="74">
        <v>26765.724</v>
      </c>
      <c r="BB19" s="7"/>
      <c r="BC19" s="75">
        <f t="shared" si="13"/>
        <v>0.4905794313054936</v>
      </c>
      <c r="BD19" s="7">
        <f t="shared" si="20"/>
        <v>0</v>
      </c>
      <c r="BE19" s="76">
        <f t="shared" si="21"/>
        <v>0</v>
      </c>
      <c r="BF19" s="76">
        <f t="shared" si="22"/>
        <v>1</v>
      </c>
      <c r="BG19" s="76">
        <f t="shared" si="23"/>
        <v>0</v>
      </c>
      <c r="BH19" s="7">
        <f t="shared" si="24"/>
        <v>0</v>
      </c>
    </row>
    <row r="20" spans="1:60" s="8" customFormat="1" ht="15">
      <c r="A20" s="77" t="s">
        <v>79</v>
      </c>
      <c r="B20" s="78">
        <v>0</v>
      </c>
      <c r="C20" s="78">
        <v>2418.65335</v>
      </c>
      <c r="D20" s="78">
        <v>0</v>
      </c>
      <c r="E20" s="79">
        <f t="shared" si="14"/>
        <v>0</v>
      </c>
      <c r="F20" s="80"/>
      <c r="G20" s="81">
        <f t="shared" si="30"/>
        <v>1</v>
      </c>
      <c r="H20" s="82">
        <f t="shared" si="0"/>
        <v>1</v>
      </c>
      <c r="I20" s="78">
        <v>0</v>
      </c>
      <c r="J20" s="78">
        <v>151550.93813999998</v>
      </c>
      <c r="K20" s="83">
        <v>113210.19875</v>
      </c>
      <c r="L20" s="78">
        <v>21495.83896</v>
      </c>
      <c r="M20" s="78">
        <v>0</v>
      </c>
      <c r="N20" s="79">
        <f t="shared" si="25"/>
        <v>0</v>
      </c>
      <c r="O20" s="80"/>
      <c r="P20" s="81">
        <f t="shared" si="31"/>
        <v>1</v>
      </c>
      <c r="Q20" s="82">
        <f t="shared" si="2"/>
        <v>1</v>
      </c>
      <c r="R20" s="84">
        <v>0</v>
      </c>
      <c r="S20" s="78">
        <v>153969.59149000002</v>
      </c>
      <c r="T20" s="83">
        <v>64834.15688</v>
      </c>
      <c r="U20" s="79">
        <f t="shared" si="3"/>
        <v>0</v>
      </c>
      <c r="V20" s="80"/>
      <c r="W20" s="81">
        <f t="shared" si="32"/>
        <v>1</v>
      </c>
      <c r="X20" s="82">
        <f t="shared" si="15"/>
        <v>1</v>
      </c>
      <c r="Y20" s="78">
        <f t="shared" si="16"/>
        <v>2418.65335</v>
      </c>
      <c r="Z20" s="85"/>
      <c r="AA20" s="85">
        <v>2418.65335</v>
      </c>
      <c r="AB20" s="85"/>
      <c r="AC20" s="85">
        <f t="shared" si="5"/>
        <v>151550.93813999998</v>
      </c>
      <c r="AD20" s="85">
        <f t="shared" si="5"/>
        <v>113210.19875</v>
      </c>
      <c r="AE20" s="85">
        <f t="shared" si="5"/>
        <v>21495.83896</v>
      </c>
      <c r="AF20" s="85">
        <f t="shared" si="17"/>
        <v>16844.900429999987</v>
      </c>
      <c r="AG20" s="85">
        <f>AF20*5%</f>
        <v>842.2450214999994</v>
      </c>
      <c r="AH20" s="85">
        <f t="shared" si="29"/>
        <v>3260.8983714999995</v>
      </c>
      <c r="AI20" s="86">
        <f t="shared" si="8"/>
        <v>0</v>
      </c>
      <c r="AJ20" s="80"/>
      <c r="AK20" s="88">
        <f t="shared" si="35"/>
        <v>1.5</v>
      </c>
      <c r="AL20" s="82">
        <f t="shared" si="9"/>
        <v>1.5</v>
      </c>
      <c r="AM20" s="89">
        <v>7991.5</v>
      </c>
      <c r="AN20" s="81">
        <v>9971</v>
      </c>
      <c r="AO20" s="90">
        <f t="shared" si="10"/>
        <v>0.8014742753986561</v>
      </c>
      <c r="AP20" s="80"/>
      <c r="AQ20" s="88">
        <f t="shared" si="33"/>
        <v>1</v>
      </c>
      <c r="AR20" s="91">
        <f t="shared" si="18"/>
        <v>1</v>
      </c>
      <c r="AS20" s="89">
        <v>21652.4</v>
      </c>
      <c r="AT20" s="81">
        <v>25171</v>
      </c>
      <c r="AU20" s="90">
        <f t="shared" si="19"/>
        <v>0.8602121489015137</v>
      </c>
      <c r="AV20" s="80"/>
      <c r="AW20" s="88">
        <f t="shared" si="34"/>
        <v>1</v>
      </c>
      <c r="AX20" s="91">
        <f t="shared" si="11"/>
        <v>1</v>
      </c>
      <c r="AY20" s="92">
        <f t="shared" si="12"/>
        <v>6.5</v>
      </c>
      <c r="AZ20" s="93"/>
      <c r="BA20" s="74">
        <v>10961.854</v>
      </c>
      <c r="BB20" s="7"/>
      <c r="BC20" s="75">
        <f t="shared" si="13"/>
        <v>0.3742954072832016</v>
      </c>
      <c r="BD20" s="7">
        <f t="shared" si="20"/>
        <v>0</v>
      </c>
      <c r="BE20" s="76">
        <f t="shared" si="21"/>
        <v>0</v>
      </c>
      <c r="BF20" s="76">
        <f t="shared" si="22"/>
        <v>1</v>
      </c>
      <c r="BG20" s="76">
        <f t="shared" si="23"/>
        <v>0</v>
      </c>
      <c r="BH20" s="7">
        <f t="shared" si="24"/>
        <v>0</v>
      </c>
    </row>
    <row r="21" spans="1:60" s="8" customFormat="1" ht="15">
      <c r="A21" s="77" t="s">
        <v>80</v>
      </c>
      <c r="B21" s="78">
        <v>0</v>
      </c>
      <c r="C21" s="78">
        <v>4529.19109</v>
      </c>
      <c r="D21" s="78">
        <v>0</v>
      </c>
      <c r="E21" s="79">
        <f t="shared" si="14"/>
        <v>0</v>
      </c>
      <c r="F21" s="80"/>
      <c r="G21" s="81">
        <f t="shared" si="30"/>
        <v>1</v>
      </c>
      <c r="H21" s="82">
        <f t="shared" si="0"/>
        <v>1</v>
      </c>
      <c r="I21" s="78">
        <v>0</v>
      </c>
      <c r="J21" s="78">
        <v>479196.04837000003</v>
      </c>
      <c r="K21" s="83">
        <v>340859.98058</v>
      </c>
      <c r="L21" s="78">
        <v>84549.25768000001</v>
      </c>
      <c r="M21" s="78">
        <v>0</v>
      </c>
      <c r="N21" s="79">
        <f t="shared" si="25"/>
        <v>0</v>
      </c>
      <c r="O21" s="80"/>
      <c r="P21" s="81">
        <f t="shared" si="31"/>
        <v>1</v>
      </c>
      <c r="Q21" s="82">
        <f t="shared" si="2"/>
        <v>1</v>
      </c>
      <c r="R21" s="84">
        <v>0</v>
      </c>
      <c r="S21" s="78">
        <v>483725.23945999995</v>
      </c>
      <c r="T21" s="83">
        <v>223156.21098</v>
      </c>
      <c r="U21" s="79">
        <f t="shared" si="3"/>
        <v>0</v>
      </c>
      <c r="V21" s="80"/>
      <c r="W21" s="81">
        <f t="shared" si="32"/>
        <v>1</v>
      </c>
      <c r="X21" s="82">
        <f t="shared" si="15"/>
        <v>1</v>
      </c>
      <c r="Y21" s="78">
        <f t="shared" si="16"/>
        <v>4529.19109</v>
      </c>
      <c r="Z21" s="85"/>
      <c r="AA21" s="85">
        <v>4529.19109</v>
      </c>
      <c r="AB21" s="85"/>
      <c r="AC21" s="85">
        <f t="shared" si="5"/>
        <v>479196.04837000003</v>
      </c>
      <c r="AD21" s="85">
        <f t="shared" si="5"/>
        <v>340859.98058</v>
      </c>
      <c r="AE21" s="85">
        <f t="shared" si="5"/>
        <v>84549.25768000001</v>
      </c>
      <c r="AF21" s="85">
        <f t="shared" si="17"/>
        <v>53786.81011000005</v>
      </c>
      <c r="AG21" s="85">
        <f>AF21*10%</f>
        <v>5378.681011000005</v>
      </c>
      <c r="AH21" s="85">
        <f t="shared" si="29"/>
        <v>9907.872101000004</v>
      </c>
      <c r="AI21" s="86">
        <f t="shared" si="8"/>
        <v>0</v>
      </c>
      <c r="AJ21" s="87"/>
      <c r="AK21" s="88">
        <f t="shared" si="35"/>
        <v>1.5</v>
      </c>
      <c r="AL21" s="82">
        <f t="shared" si="9"/>
        <v>1.5</v>
      </c>
      <c r="AM21" s="89">
        <v>16586.3</v>
      </c>
      <c r="AN21" s="81">
        <v>17572</v>
      </c>
      <c r="AO21" s="90">
        <f t="shared" si="10"/>
        <v>0.9439050762576826</v>
      </c>
      <c r="AP21" s="87"/>
      <c r="AQ21" s="88">
        <f t="shared" si="33"/>
        <v>1</v>
      </c>
      <c r="AR21" s="91">
        <f t="shared" si="18"/>
        <v>1</v>
      </c>
      <c r="AS21" s="89">
        <v>38328.3</v>
      </c>
      <c r="AT21" s="81">
        <v>40219</v>
      </c>
      <c r="AU21" s="90">
        <f t="shared" si="19"/>
        <v>0.9529898804047838</v>
      </c>
      <c r="AV21" s="87"/>
      <c r="AW21" s="88">
        <f t="shared" si="34"/>
        <v>1</v>
      </c>
      <c r="AX21" s="91">
        <f t="shared" si="11"/>
        <v>1</v>
      </c>
      <c r="AY21" s="92">
        <f t="shared" si="12"/>
        <v>6.5</v>
      </c>
      <c r="AZ21" s="93"/>
      <c r="BA21" s="74">
        <v>31817.344</v>
      </c>
      <c r="BB21" s="7"/>
      <c r="BC21" s="75">
        <f t="shared" si="13"/>
        <v>0.4544863130136672</v>
      </c>
      <c r="BD21" s="7">
        <f t="shared" si="20"/>
        <v>0</v>
      </c>
      <c r="BE21" s="76">
        <f t="shared" si="21"/>
        <v>0</v>
      </c>
      <c r="BF21" s="76">
        <f t="shared" si="22"/>
        <v>1</v>
      </c>
      <c r="BG21" s="76">
        <f t="shared" si="23"/>
        <v>0</v>
      </c>
      <c r="BH21" s="7">
        <f t="shared" si="24"/>
        <v>0</v>
      </c>
    </row>
    <row r="22" spans="1:60" s="8" customFormat="1" ht="15">
      <c r="A22" s="77" t="s">
        <v>81</v>
      </c>
      <c r="B22" s="78">
        <v>0</v>
      </c>
      <c r="C22" s="78">
        <v>-5712.2984400000005</v>
      </c>
      <c r="D22" s="78">
        <v>0</v>
      </c>
      <c r="E22" s="79">
        <f t="shared" si="14"/>
        <v>0</v>
      </c>
      <c r="F22" s="80"/>
      <c r="G22" s="81">
        <f t="shared" si="30"/>
        <v>1</v>
      </c>
      <c r="H22" s="82">
        <f t="shared" si="0"/>
        <v>1</v>
      </c>
      <c r="I22" s="78">
        <v>0</v>
      </c>
      <c r="J22" s="78">
        <v>217663.10222</v>
      </c>
      <c r="K22" s="83">
        <v>168931.57369999998</v>
      </c>
      <c r="L22" s="78">
        <v>36385.270670000005</v>
      </c>
      <c r="M22" s="78">
        <v>0</v>
      </c>
      <c r="N22" s="79">
        <f t="shared" si="25"/>
        <v>0</v>
      </c>
      <c r="O22" s="80"/>
      <c r="P22" s="81">
        <f t="shared" si="31"/>
        <v>1</v>
      </c>
      <c r="Q22" s="82">
        <f t="shared" si="2"/>
        <v>1</v>
      </c>
      <c r="R22" s="84">
        <v>0</v>
      </c>
      <c r="S22" s="78">
        <v>211950.80378</v>
      </c>
      <c r="T22" s="83">
        <v>96886.99141</v>
      </c>
      <c r="U22" s="79">
        <f t="shared" si="3"/>
        <v>0</v>
      </c>
      <c r="V22" s="80"/>
      <c r="W22" s="81">
        <f t="shared" si="32"/>
        <v>1</v>
      </c>
      <c r="X22" s="82">
        <f t="shared" si="15"/>
        <v>1</v>
      </c>
      <c r="Y22" s="78">
        <f t="shared" si="16"/>
        <v>-5712.2984400000005</v>
      </c>
      <c r="Z22" s="85"/>
      <c r="AA22" s="85">
        <v>-5712.2984400000005</v>
      </c>
      <c r="AB22" s="85"/>
      <c r="AC22" s="85">
        <f t="shared" si="5"/>
        <v>217663.10222</v>
      </c>
      <c r="AD22" s="85">
        <f t="shared" si="5"/>
        <v>168931.57369999998</v>
      </c>
      <c r="AE22" s="85">
        <f t="shared" si="5"/>
        <v>36385.270670000005</v>
      </c>
      <c r="AF22" s="85">
        <f t="shared" si="17"/>
        <v>12346.257850000016</v>
      </c>
      <c r="AG22" s="85">
        <f>AF22*5%</f>
        <v>617.3128925000009</v>
      </c>
      <c r="AH22" s="85">
        <f t="shared" si="29"/>
        <v>617.3128925000009</v>
      </c>
      <c r="AI22" s="86">
        <f t="shared" si="8"/>
        <v>0</v>
      </c>
      <c r="AJ22" s="80"/>
      <c r="AK22" s="88">
        <f t="shared" si="35"/>
        <v>1.5</v>
      </c>
      <c r="AL22" s="82">
        <f t="shared" si="9"/>
        <v>1.5</v>
      </c>
      <c r="AM22" s="89">
        <v>9670.4</v>
      </c>
      <c r="AN22" s="81">
        <v>10906</v>
      </c>
      <c r="AO22" s="90">
        <f t="shared" si="10"/>
        <v>0.8867045662937832</v>
      </c>
      <c r="AP22" s="80"/>
      <c r="AQ22" s="88">
        <f t="shared" si="33"/>
        <v>1</v>
      </c>
      <c r="AR22" s="91">
        <f t="shared" si="18"/>
        <v>1</v>
      </c>
      <c r="AS22" s="89">
        <v>26344.4</v>
      </c>
      <c r="AT22" s="81">
        <v>27242</v>
      </c>
      <c r="AU22" s="90">
        <f t="shared" si="19"/>
        <v>0.9670508773217826</v>
      </c>
      <c r="AV22" s="80"/>
      <c r="AW22" s="88">
        <f t="shared" si="34"/>
        <v>1</v>
      </c>
      <c r="AX22" s="91">
        <f t="shared" si="11"/>
        <v>1</v>
      </c>
      <c r="AY22" s="92">
        <f t="shared" si="12"/>
        <v>6.5</v>
      </c>
      <c r="AZ22" s="93"/>
      <c r="BA22" s="74">
        <v>40337.11</v>
      </c>
      <c r="BB22" s="7"/>
      <c r="BC22" s="75">
        <f t="shared" si="13"/>
        <v>0.6352446701210349</v>
      </c>
      <c r="BD22" s="7">
        <f t="shared" si="20"/>
        <v>0</v>
      </c>
      <c r="BE22" s="76">
        <f t="shared" si="21"/>
        <v>0</v>
      </c>
      <c r="BF22" s="76">
        <f t="shared" si="22"/>
        <v>0</v>
      </c>
      <c r="BG22" s="76">
        <f t="shared" si="23"/>
        <v>1</v>
      </c>
      <c r="BH22" s="7">
        <f t="shared" si="24"/>
        <v>0</v>
      </c>
    </row>
    <row r="23" spans="1:60" s="8" customFormat="1" ht="15">
      <c r="A23" s="77" t="s">
        <v>82</v>
      </c>
      <c r="B23" s="78">
        <v>0</v>
      </c>
      <c r="C23" s="78">
        <v>-446.22558000000004</v>
      </c>
      <c r="D23" s="78">
        <v>0</v>
      </c>
      <c r="E23" s="79">
        <f t="shared" si="14"/>
        <v>0</v>
      </c>
      <c r="F23" s="80"/>
      <c r="G23" s="81">
        <f t="shared" si="30"/>
        <v>1</v>
      </c>
      <c r="H23" s="82">
        <f t="shared" si="0"/>
        <v>1</v>
      </c>
      <c r="I23" s="78">
        <v>0</v>
      </c>
      <c r="J23" s="78">
        <v>468016.05356000003</v>
      </c>
      <c r="K23" s="83">
        <v>304343.81486000004</v>
      </c>
      <c r="L23" s="78">
        <v>92532.74943000001</v>
      </c>
      <c r="M23" s="78">
        <v>0</v>
      </c>
      <c r="N23" s="79">
        <f t="shared" si="25"/>
        <v>0</v>
      </c>
      <c r="O23" s="80"/>
      <c r="P23" s="81">
        <f t="shared" si="31"/>
        <v>1</v>
      </c>
      <c r="Q23" s="82">
        <f t="shared" si="2"/>
        <v>1</v>
      </c>
      <c r="R23" s="84">
        <v>0</v>
      </c>
      <c r="S23" s="78">
        <v>467569.82798</v>
      </c>
      <c r="T23" s="83">
        <v>214024.12498</v>
      </c>
      <c r="U23" s="79">
        <f t="shared" si="3"/>
        <v>0</v>
      </c>
      <c r="V23" s="80"/>
      <c r="W23" s="81">
        <f t="shared" si="32"/>
        <v>1</v>
      </c>
      <c r="X23" s="82">
        <f t="shared" si="15"/>
        <v>1</v>
      </c>
      <c r="Y23" s="78">
        <f t="shared" si="16"/>
        <v>-446.22558000000004</v>
      </c>
      <c r="Z23" s="85"/>
      <c r="AA23" s="85">
        <v>-446.22558000000004</v>
      </c>
      <c r="AB23" s="85"/>
      <c r="AC23" s="85">
        <f t="shared" si="5"/>
        <v>468016.05356000003</v>
      </c>
      <c r="AD23" s="85">
        <f t="shared" si="5"/>
        <v>304343.81486000004</v>
      </c>
      <c r="AE23" s="85">
        <f t="shared" si="5"/>
        <v>92532.74943000001</v>
      </c>
      <c r="AF23" s="85">
        <f t="shared" si="17"/>
        <v>71139.48926999998</v>
      </c>
      <c r="AG23" s="85">
        <f>AF23*10%</f>
        <v>7113.948926999998</v>
      </c>
      <c r="AH23" s="85">
        <f t="shared" si="29"/>
        <v>7113.948926999998</v>
      </c>
      <c r="AI23" s="86">
        <f t="shared" si="8"/>
        <v>0</v>
      </c>
      <c r="AJ23" s="87"/>
      <c r="AK23" s="88">
        <f t="shared" si="35"/>
        <v>1.5</v>
      </c>
      <c r="AL23" s="82">
        <f t="shared" si="9"/>
        <v>1.5</v>
      </c>
      <c r="AM23" s="89">
        <v>16384.2</v>
      </c>
      <c r="AN23" s="81">
        <v>17572</v>
      </c>
      <c r="AO23" s="90">
        <f t="shared" si="10"/>
        <v>0.9324038242658775</v>
      </c>
      <c r="AP23" s="87"/>
      <c r="AQ23" s="88">
        <f t="shared" si="33"/>
        <v>1</v>
      </c>
      <c r="AR23" s="91">
        <f t="shared" si="18"/>
        <v>1</v>
      </c>
      <c r="AS23" s="89">
        <v>40210.8</v>
      </c>
      <c r="AT23" s="81">
        <v>40219</v>
      </c>
      <c r="AU23" s="90">
        <f t="shared" si="19"/>
        <v>0.9997961162634577</v>
      </c>
      <c r="AV23" s="87"/>
      <c r="AW23" s="88">
        <f t="shared" si="34"/>
        <v>1</v>
      </c>
      <c r="AX23" s="91">
        <f t="shared" si="11"/>
        <v>1</v>
      </c>
      <c r="AY23" s="92">
        <f t="shared" si="12"/>
        <v>6.5</v>
      </c>
      <c r="AZ23" s="93"/>
      <c r="BA23" s="74">
        <v>16988.464</v>
      </c>
      <c r="BB23" s="7"/>
      <c r="BC23" s="75">
        <f t="shared" si="13"/>
        <v>0.43119958198003927</v>
      </c>
      <c r="BD23" s="7">
        <f t="shared" si="20"/>
        <v>0</v>
      </c>
      <c r="BE23" s="76">
        <f t="shared" si="21"/>
        <v>0</v>
      </c>
      <c r="BF23" s="76">
        <f t="shared" si="22"/>
        <v>1</v>
      </c>
      <c r="BG23" s="76">
        <f t="shared" si="23"/>
        <v>0</v>
      </c>
      <c r="BH23" s="7">
        <f t="shared" si="24"/>
        <v>0</v>
      </c>
    </row>
    <row r="24" spans="1:60" s="8" customFormat="1" ht="15">
      <c r="A24" s="77" t="s">
        <v>83</v>
      </c>
      <c r="B24" s="78">
        <v>0</v>
      </c>
      <c r="C24" s="78">
        <v>6910.81417</v>
      </c>
      <c r="D24" s="78">
        <v>0</v>
      </c>
      <c r="E24" s="79">
        <f t="shared" si="14"/>
        <v>0</v>
      </c>
      <c r="F24" s="80"/>
      <c r="G24" s="81">
        <f t="shared" si="30"/>
        <v>1</v>
      </c>
      <c r="H24" s="82">
        <f t="shared" si="0"/>
        <v>1</v>
      </c>
      <c r="I24" s="78">
        <v>0</v>
      </c>
      <c r="J24" s="78">
        <v>273338.08295</v>
      </c>
      <c r="K24" s="83">
        <v>213776.35753</v>
      </c>
      <c r="L24" s="78">
        <v>37122.67284000001</v>
      </c>
      <c r="M24" s="78">
        <v>0</v>
      </c>
      <c r="N24" s="79">
        <f t="shared" si="25"/>
        <v>0</v>
      </c>
      <c r="O24" s="80"/>
      <c r="P24" s="81">
        <f>IF(N24&lt;=0.5,1,0)</f>
        <v>1</v>
      </c>
      <c r="Q24" s="82">
        <f t="shared" si="2"/>
        <v>1</v>
      </c>
      <c r="R24" s="84">
        <v>0</v>
      </c>
      <c r="S24" s="78">
        <v>280248.89712</v>
      </c>
      <c r="T24" s="83">
        <v>118624.75728</v>
      </c>
      <c r="U24" s="79">
        <f t="shared" si="3"/>
        <v>0</v>
      </c>
      <c r="V24" s="80"/>
      <c r="W24" s="81">
        <f>IF(U24&lt;=0.15,1,0)</f>
        <v>1</v>
      </c>
      <c r="X24" s="82">
        <f t="shared" si="15"/>
        <v>1</v>
      </c>
      <c r="Y24" s="78">
        <f t="shared" si="16"/>
        <v>6910.81417</v>
      </c>
      <c r="Z24" s="85"/>
      <c r="AA24" s="85">
        <v>6910.81417</v>
      </c>
      <c r="AB24" s="85"/>
      <c r="AC24" s="85">
        <f t="shared" si="5"/>
        <v>273338.08295</v>
      </c>
      <c r="AD24" s="85">
        <f t="shared" si="5"/>
        <v>213776.35753</v>
      </c>
      <c r="AE24" s="85">
        <f t="shared" si="5"/>
        <v>37122.67284000001</v>
      </c>
      <c r="AF24" s="85">
        <f t="shared" si="17"/>
        <v>22439.052579999996</v>
      </c>
      <c r="AG24" s="85">
        <f aca="true" t="shared" si="36" ref="AG24:AG32">AF24*5%</f>
        <v>1121.952629</v>
      </c>
      <c r="AH24" s="85">
        <f t="shared" si="29"/>
        <v>8032.766798999999</v>
      </c>
      <c r="AI24" s="86">
        <f t="shared" si="8"/>
        <v>0</v>
      </c>
      <c r="AJ24" s="87"/>
      <c r="AK24" s="88">
        <f t="shared" si="35"/>
        <v>1.5</v>
      </c>
      <c r="AL24" s="82">
        <f t="shared" si="9"/>
        <v>1.5</v>
      </c>
      <c r="AM24" s="89">
        <v>9501.6</v>
      </c>
      <c r="AN24" s="81">
        <v>12266</v>
      </c>
      <c r="AO24" s="90">
        <f t="shared" si="10"/>
        <v>0.7746290559269526</v>
      </c>
      <c r="AP24" s="87"/>
      <c r="AQ24" s="88">
        <f t="shared" si="33"/>
        <v>1</v>
      </c>
      <c r="AR24" s="91">
        <f>AP24+AQ24</f>
        <v>1</v>
      </c>
      <c r="AS24" s="89">
        <v>24685</v>
      </c>
      <c r="AT24" s="81">
        <v>30284</v>
      </c>
      <c r="AU24" s="90">
        <f t="shared" si="19"/>
        <v>0.8151168934090609</v>
      </c>
      <c r="AV24" s="87"/>
      <c r="AW24" s="88">
        <f t="shared" si="34"/>
        <v>1</v>
      </c>
      <c r="AX24" s="91">
        <f t="shared" si="11"/>
        <v>1</v>
      </c>
      <c r="AY24" s="92">
        <f t="shared" si="12"/>
        <v>6.5</v>
      </c>
      <c r="AZ24" s="98"/>
      <c r="BA24" s="74">
        <v>40388.538</v>
      </c>
      <c r="BB24" s="7"/>
      <c r="BC24" s="75">
        <f t="shared" si="13"/>
        <v>0.5009989314387157</v>
      </c>
      <c r="BD24" s="7">
        <f t="shared" si="20"/>
        <v>0</v>
      </c>
      <c r="BE24" s="76">
        <f t="shared" si="21"/>
        <v>0</v>
      </c>
      <c r="BF24" s="76">
        <f t="shared" si="22"/>
        <v>0</v>
      </c>
      <c r="BG24" s="76">
        <f t="shared" si="23"/>
        <v>1</v>
      </c>
      <c r="BH24" s="7">
        <f t="shared" si="24"/>
        <v>0</v>
      </c>
    </row>
    <row r="25" spans="1:60" s="8" customFormat="1" ht="15">
      <c r="A25" s="77" t="s">
        <v>84</v>
      </c>
      <c r="B25" s="78">
        <v>0</v>
      </c>
      <c r="C25" s="78">
        <v>-1441.7328300000001</v>
      </c>
      <c r="D25" s="78">
        <v>1074</v>
      </c>
      <c r="E25" s="79">
        <f t="shared" si="14"/>
        <v>0</v>
      </c>
      <c r="F25" s="80"/>
      <c r="G25" s="81">
        <f t="shared" si="30"/>
        <v>1</v>
      </c>
      <c r="H25" s="82">
        <f t="shared" si="0"/>
        <v>1</v>
      </c>
      <c r="I25" s="78">
        <v>1075</v>
      </c>
      <c r="J25" s="78">
        <v>466123.21017000003</v>
      </c>
      <c r="K25" s="83">
        <v>326009.63475</v>
      </c>
      <c r="L25" s="78">
        <v>98113.35169</v>
      </c>
      <c r="M25" s="78">
        <v>0</v>
      </c>
      <c r="N25" s="79">
        <f t="shared" si="25"/>
        <v>0.02559510175256868</v>
      </c>
      <c r="O25" s="80"/>
      <c r="P25" s="81">
        <f>IF(N25&lt;=0.5,1,0)</f>
        <v>1</v>
      </c>
      <c r="Q25" s="82">
        <f>O25+P25</f>
        <v>1</v>
      </c>
      <c r="R25" s="84">
        <v>140.57425</v>
      </c>
      <c r="S25" s="78">
        <v>464681.47734</v>
      </c>
      <c r="T25" s="83">
        <v>220399.52042</v>
      </c>
      <c r="U25" s="79">
        <f t="shared" si="3"/>
        <v>0.000575458997350495</v>
      </c>
      <c r="V25" s="80"/>
      <c r="W25" s="81">
        <f aca="true" t="shared" si="37" ref="W25:W39">IF(U25&lt;=0.15,1,0)</f>
        <v>1</v>
      </c>
      <c r="X25" s="82">
        <f t="shared" si="15"/>
        <v>1</v>
      </c>
      <c r="Y25" s="78">
        <f t="shared" si="16"/>
        <v>-1441.7328300000001</v>
      </c>
      <c r="Z25" s="85"/>
      <c r="AA25" s="85">
        <v>-367.73283000000004</v>
      </c>
      <c r="AB25" s="85"/>
      <c r="AC25" s="85">
        <f t="shared" si="5"/>
        <v>466123.21017000003</v>
      </c>
      <c r="AD25" s="85">
        <f t="shared" si="5"/>
        <v>326009.63475</v>
      </c>
      <c r="AE25" s="85">
        <f t="shared" si="5"/>
        <v>98113.35169</v>
      </c>
      <c r="AF25" s="85">
        <f t="shared" si="17"/>
        <v>42000.22373000001</v>
      </c>
      <c r="AG25" s="85">
        <f>AF25*10%</f>
        <v>4200.022373000002</v>
      </c>
      <c r="AH25" s="85">
        <f t="shared" si="29"/>
        <v>4200.022373000002</v>
      </c>
      <c r="AI25" s="86">
        <f t="shared" si="8"/>
        <v>0</v>
      </c>
      <c r="AJ25" s="87"/>
      <c r="AK25" s="88">
        <f t="shared" si="35"/>
        <v>1.5</v>
      </c>
      <c r="AL25" s="82">
        <f t="shared" si="9"/>
        <v>1.5</v>
      </c>
      <c r="AM25" s="89">
        <v>13807.2</v>
      </c>
      <c r="AN25" s="81">
        <v>14513</v>
      </c>
      <c r="AO25" s="90">
        <f t="shared" si="10"/>
        <v>0.9513677392682424</v>
      </c>
      <c r="AP25" s="87"/>
      <c r="AQ25" s="88">
        <f t="shared" si="33"/>
        <v>1</v>
      </c>
      <c r="AR25" s="91">
        <f t="shared" si="18"/>
        <v>1</v>
      </c>
      <c r="AS25" s="89">
        <v>29029</v>
      </c>
      <c r="AT25" s="81">
        <v>34457</v>
      </c>
      <c r="AU25" s="90">
        <f t="shared" si="19"/>
        <v>0.8424703253330238</v>
      </c>
      <c r="AV25" s="87"/>
      <c r="AW25" s="88">
        <f t="shared" si="34"/>
        <v>1</v>
      </c>
      <c r="AX25" s="91">
        <f t="shared" si="11"/>
        <v>1</v>
      </c>
      <c r="AY25" s="92">
        <f t="shared" si="12"/>
        <v>6.5</v>
      </c>
      <c r="AZ25" s="93"/>
      <c r="BA25" s="74">
        <v>46282.38238</v>
      </c>
      <c r="BB25" s="7"/>
      <c r="BC25" s="75">
        <f t="shared" si="13"/>
        <v>0.5876345671713974</v>
      </c>
      <c r="BD25" s="7">
        <f t="shared" si="20"/>
        <v>0</v>
      </c>
      <c r="BE25" s="76">
        <f t="shared" si="21"/>
        <v>0</v>
      </c>
      <c r="BF25" s="76">
        <f t="shared" si="22"/>
        <v>0</v>
      </c>
      <c r="BG25" s="76">
        <f t="shared" si="23"/>
        <v>1</v>
      </c>
      <c r="BH25" s="7">
        <f t="shared" si="24"/>
        <v>0</v>
      </c>
    </row>
    <row r="26" spans="1:60" s="8" customFormat="1" ht="15">
      <c r="A26" s="77" t="s">
        <v>85</v>
      </c>
      <c r="B26" s="78">
        <v>0</v>
      </c>
      <c r="C26" s="78">
        <v>-6946.32485</v>
      </c>
      <c r="D26" s="78">
        <v>0</v>
      </c>
      <c r="E26" s="79">
        <f t="shared" si="14"/>
        <v>0</v>
      </c>
      <c r="F26" s="80"/>
      <c r="G26" s="81">
        <f t="shared" si="30"/>
        <v>1</v>
      </c>
      <c r="H26" s="82">
        <f t="shared" si="0"/>
        <v>1</v>
      </c>
      <c r="I26" s="78">
        <v>0</v>
      </c>
      <c r="J26" s="78">
        <v>331170.85223</v>
      </c>
      <c r="K26" s="83">
        <v>249772.34113</v>
      </c>
      <c r="L26" s="78">
        <v>43432.683840000005</v>
      </c>
      <c r="M26" s="78">
        <v>0</v>
      </c>
      <c r="N26" s="79">
        <f t="shared" si="25"/>
        <v>0</v>
      </c>
      <c r="O26" s="80"/>
      <c r="P26" s="81">
        <f aca="true" t="shared" si="38" ref="P26:P39">IF(N26&lt;=0.5,1,0)</f>
        <v>1</v>
      </c>
      <c r="Q26" s="82">
        <f t="shared" si="2"/>
        <v>1</v>
      </c>
      <c r="R26" s="84">
        <v>0</v>
      </c>
      <c r="S26" s="78">
        <v>324224.52738</v>
      </c>
      <c r="T26" s="83">
        <v>154221.82813</v>
      </c>
      <c r="U26" s="79">
        <f t="shared" si="3"/>
        <v>0</v>
      </c>
      <c r="V26" s="80"/>
      <c r="W26" s="81">
        <f t="shared" si="37"/>
        <v>1</v>
      </c>
      <c r="X26" s="82">
        <f t="shared" si="15"/>
        <v>1</v>
      </c>
      <c r="Y26" s="78">
        <f t="shared" si="16"/>
        <v>-6946.32485</v>
      </c>
      <c r="Z26" s="85"/>
      <c r="AA26" s="85">
        <v>-6946.32485</v>
      </c>
      <c r="AB26" s="85"/>
      <c r="AC26" s="85">
        <f t="shared" si="5"/>
        <v>331170.85223</v>
      </c>
      <c r="AD26" s="85">
        <f t="shared" si="5"/>
        <v>249772.34113</v>
      </c>
      <c r="AE26" s="85">
        <f t="shared" si="5"/>
        <v>43432.683840000005</v>
      </c>
      <c r="AF26" s="85">
        <f t="shared" si="17"/>
        <v>37965.82726000003</v>
      </c>
      <c r="AG26" s="85">
        <f t="shared" si="36"/>
        <v>1898.2913630000014</v>
      </c>
      <c r="AH26" s="85">
        <f t="shared" si="29"/>
        <v>1898.2913630000014</v>
      </c>
      <c r="AI26" s="86">
        <f t="shared" si="8"/>
        <v>0</v>
      </c>
      <c r="AJ26" s="80"/>
      <c r="AK26" s="88">
        <f t="shared" si="35"/>
        <v>1.5</v>
      </c>
      <c r="AL26" s="82">
        <f t="shared" si="9"/>
        <v>1.5</v>
      </c>
      <c r="AM26" s="89">
        <v>10872.5</v>
      </c>
      <c r="AN26" s="81">
        <v>11489</v>
      </c>
      <c r="AO26" s="90">
        <f t="shared" si="10"/>
        <v>0.9463399773696579</v>
      </c>
      <c r="AP26" s="80"/>
      <c r="AQ26" s="88">
        <f t="shared" si="33"/>
        <v>1</v>
      </c>
      <c r="AR26" s="91">
        <f t="shared" si="18"/>
        <v>1</v>
      </c>
      <c r="AS26" s="89">
        <v>27054</v>
      </c>
      <c r="AT26" s="81">
        <v>27189</v>
      </c>
      <c r="AU26" s="90">
        <f t="shared" si="19"/>
        <v>0.9950347567030785</v>
      </c>
      <c r="AV26" s="80"/>
      <c r="AW26" s="88">
        <f t="shared" si="34"/>
        <v>1</v>
      </c>
      <c r="AX26" s="91">
        <f t="shared" si="11"/>
        <v>1</v>
      </c>
      <c r="AY26" s="92">
        <f t="shared" si="12"/>
        <v>6.5</v>
      </c>
      <c r="AZ26" s="93"/>
      <c r="BA26" s="74">
        <v>30349.422</v>
      </c>
      <c r="BB26" s="7"/>
      <c r="BC26" s="75">
        <f t="shared" si="13"/>
        <v>0.4169681421825937</v>
      </c>
      <c r="BD26" s="7">
        <f t="shared" si="20"/>
        <v>0</v>
      </c>
      <c r="BE26" s="76">
        <f t="shared" si="21"/>
        <v>0</v>
      </c>
      <c r="BF26" s="76">
        <f t="shared" si="22"/>
        <v>1</v>
      </c>
      <c r="BG26" s="76">
        <f t="shared" si="23"/>
        <v>0</v>
      </c>
      <c r="BH26" s="7">
        <f t="shared" si="24"/>
        <v>0</v>
      </c>
    </row>
    <row r="27" spans="1:60" s="8" customFormat="1" ht="15">
      <c r="A27" s="77" t="s">
        <v>86</v>
      </c>
      <c r="B27" s="78">
        <v>0</v>
      </c>
      <c r="C27" s="78">
        <v>-85.03925</v>
      </c>
      <c r="D27" s="78">
        <v>0</v>
      </c>
      <c r="E27" s="79">
        <f t="shared" si="14"/>
        <v>0</v>
      </c>
      <c r="F27" s="80"/>
      <c r="G27" s="81">
        <f t="shared" si="30"/>
        <v>1</v>
      </c>
      <c r="H27" s="82">
        <f t="shared" si="0"/>
        <v>1</v>
      </c>
      <c r="I27" s="78">
        <v>0</v>
      </c>
      <c r="J27" s="78">
        <v>446672.70792</v>
      </c>
      <c r="K27" s="83">
        <v>343179.03731</v>
      </c>
      <c r="L27" s="78">
        <v>53883.12497999999</v>
      </c>
      <c r="M27" s="78">
        <v>0</v>
      </c>
      <c r="N27" s="79">
        <f t="shared" si="25"/>
        <v>0</v>
      </c>
      <c r="O27" s="80"/>
      <c r="P27" s="81">
        <f t="shared" si="38"/>
        <v>1</v>
      </c>
      <c r="Q27" s="82">
        <f t="shared" si="2"/>
        <v>1</v>
      </c>
      <c r="R27" s="84">
        <v>0</v>
      </c>
      <c r="S27" s="78">
        <v>446587.66867000004</v>
      </c>
      <c r="T27" s="83">
        <v>138878.22115</v>
      </c>
      <c r="U27" s="79">
        <f t="shared" si="3"/>
        <v>0</v>
      </c>
      <c r="V27" s="80"/>
      <c r="W27" s="81">
        <f t="shared" si="37"/>
        <v>1</v>
      </c>
      <c r="X27" s="82">
        <f t="shared" si="15"/>
        <v>1</v>
      </c>
      <c r="Y27" s="78">
        <f t="shared" si="16"/>
        <v>-85.03925</v>
      </c>
      <c r="Z27" s="85"/>
      <c r="AA27" s="85">
        <v>-85.03925</v>
      </c>
      <c r="AB27" s="85"/>
      <c r="AC27" s="85">
        <f t="shared" si="5"/>
        <v>446672.70792</v>
      </c>
      <c r="AD27" s="85">
        <f t="shared" si="5"/>
        <v>343179.03731</v>
      </c>
      <c r="AE27" s="85">
        <f t="shared" si="5"/>
        <v>53883.12497999999</v>
      </c>
      <c r="AF27" s="85">
        <f t="shared" si="17"/>
        <v>49610.54563000004</v>
      </c>
      <c r="AG27" s="85">
        <f t="shared" si="36"/>
        <v>2480.527281500002</v>
      </c>
      <c r="AH27" s="85">
        <f t="shared" si="29"/>
        <v>2480.527281500002</v>
      </c>
      <c r="AI27" s="86">
        <f t="shared" si="8"/>
        <v>0</v>
      </c>
      <c r="AJ27" s="80"/>
      <c r="AK27" s="88">
        <f t="shared" si="35"/>
        <v>1.5</v>
      </c>
      <c r="AL27" s="82">
        <f t="shared" si="9"/>
        <v>1.5</v>
      </c>
      <c r="AM27" s="89">
        <v>11109</v>
      </c>
      <c r="AN27" s="81">
        <v>12266</v>
      </c>
      <c r="AO27" s="90">
        <f t="shared" si="10"/>
        <v>0.9056742214250775</v>
      </c>
      <c r="AP27" s="80"/>
      <c r="AQ27" s="88">
        <f t="shared" si="33"/>
        <v>1</v>
      </c>
      <c r="AR27" s="91">
        <f t="shared" si="18"/>
        <v>1</v>
      </c>
      <c r="AS27" s="89">
        <v>27200.3</v>
      </c>
      <c r="AT27" s="81">
        <v>30284</v>
      </c>
      <c r="AU27" s="90">
        <f t="shared" si="19"/>
        <v>0.8981739532426364</v>
      </c>
      <c r="AV27" s="80"/>
      <c r="AW27" s="88">
        <f t="shared" si="34"/>
        <v>1</v>
      </c>
      <c r="AX27" s="91">
        <f t="shared" si="11"/>
        <v>1</v>
      </c>
      <c r="AY27" s="92">
        <f t="shared" si="12"/>
        <v>6.5</v>
      </c>
      <c r="AZ27" s="93"/>
      <c r="BA27" s="74">
        <v>43739.488</v>
      </c>
      <c r="BB27" s="7"/>
      <c r="BC27" s="75">
        <f t="shared" si="13"/>
        <v>0.3171681663451908</v>
      </c>
      <c r="BD27" s="7">
        <f t="shared" si="20"/>
        <v>0</v>
      </c>
      <c r="BE27" s="76">
        <f t="shared" si="21"/>
        <v>0</v>
      </c>
      <c r="BF27" s="76">
        <f t="shared" si="22"/>
        <v>1</v>
      </c>
      <c r="BG27" s="76">
        <f t="shared" si="23"/>
        <v>0</v>
      </c>
      <c r="BH27" s="7">
        <f t="shared" si="24"/>
        <v>0</v>
      </c>
    </row>
    <row r="28" spans="1:60" s="8" customFormat="1" ht="15">
      <c r="A28" s="77" t="s">
        <v>87</v>
      </c>
      <c r="B28" s="78">
        <v>0</v>
      </c>
      <c r="C28" s="78">
        <v>657.04092</v>
      </c>
      <c r="D28" s="78">
        <v>0</v>
      </c>
      <c r="E28" s="79">
        <f t="shared" si="14"/>
        <v>0</v>
      </c>
      <c r="F28" s="80"/>
      <c r="G28" s="81">
        <f t="shared" si="30"/>
        <v>1</v>
      </c>
      <c r="H28" s="82">
        <f t="shared" si="0"/>
        <v>1</v>
      </c>
      <c r="I28" s="78">
        <v>0</v>
      </c>
      <c r="J28" s="78">
        <v>247955.81403</v>
      </c>
      <c r="K28" s="83">
        <v>199233.71672</v>
      </c>
      <c r="L28" s="78">
        <v>26442.678030000003</v>
      </c>
      <c r="M28" s="78">
        <v>0</v>
      </c>
      <c r="N28" s="79">
        <f t="shared" si="25"/>
        <v>0</v>
      </c>
      <c r="O28" s="80"/>
      <c r="P28" s="81">
        <f t="shared" si="38"/>
        <v>1</v>
      </c>
      <c r="Q28" s="82">
        <f t="shared" si="2"/>
        <v>1</v>
      </c>
      <c r="R28" s="84">
        <v>0</v>
      </c>
      <c r="S28" s="78">
        <v>248612.85494999998</v>
      </c>
      <c r="T28" s="83">
        <v>93502.49767</v>
      </c>
      <c r="U28" s="79">
        <f t="shared" si="3"/>
        <v>0</v>
      </c>
      <c r="V28" s="80"/>
      <c r="W28" s="81">
        <f t="shared" si="37"/>
        <v>1</v>
      </c>
      <c r="X28" s="82">
        <f t="shared" si="15"/>
        <v>1</v>
      </c>
      <c r="Y28" s="78">
        <f t="shared" si="16"/>
        <v>657.04092</v>
      </c>
      <c r="Z28" s="85"/>
      <c r="AA28" s="85">
        <v>657.04092</v>
      </c>
      <c r="AB28" s="85"/>
      <c r="AC28" s="85">
        <f t="shared" si="5"/>
        <v>247955.81403</v>
      </c>
      <c r="AD28" s="85">
        <f t="shared" si="5"/>
        <v>199233.71672</v>
      </c>
      <c r="AE28" s="85">
        <f t="shared" si="5"/>
        <v>26442.678030000003</v>
      </c>
      <c r="AF28" s="85">
        <f t="shared" si="17"/>
        <v>22279.41928000001</v>
      </c>
      <c r="AG28" s="85">
        <f t="shared" si="36"/>
        <v>1113.9709640000005</v>
      </c>
      <c r="AH28" s="85">
        <f t="shared" si="29"/>
        <v>1771.0118840000005</v>
      </c>
      <c r="AI28" s="86">
        <f t="shared" si="8"/>
        <v>0</v>
      </c>
      <c r="AJ28" s="80"/>
      <c r="AK28" s="88">
        <f t="shared" si="35"/>
        <v>1.5</v>
      </c>
      <c r="AL28" s="82">
        <f t="shared" si="9"/>
        <v>1.5</v>
      </c>
      <c r="AM28" s="89">
        <v>8806.2</v>
      </c>
      <c r="AN28" s="81">
        <v>10906</v>
      </c>
      <c r="AO28" s="90">
        <f t="shared" si="10"/>
        <v>0.8074637814047314</v>
      </c>
      <c r="AP28" s="80"/>
      <c r="AQ28" s="88">
        <f t="shared" si="33"/>
        <v>1</v>
      </c>
      <c r="AR28" s="91">
        <f t="shared" si="18"/>
        <v>1</v>
      </c>
      <c r="AS28" s="89">
        <v>23871.7</v>
      </c>
      <c r="AT28" s="81">
        <v>27242</v>
      </c>
      <c r="AU28" s="90">
        <f t="shared" si="19"/>
        <v>0.8762829454518758</v>
      </c>
      <c r="AV28" s="80"/>
      <c r="AW28" s="88">
        <f t="shared" si="34"/>
        <v>1</v>
      </c>
      <c r="AX28" s="91">
        <f t="shared" si="11"/>
        <v>1</v>
      </c>
      <c r="AY28" s="92">
        <f t="shared" si="12"/>
        <v>6.5</v>
      </c>
      <c r="AZ28" s="93"/>
      <c r="BA28" s="74">
        <v>50833.50774</v>
      </c>
      <c r="BB28" s="7"/>
      <c r="BC28" s="75">
        <f t="shared" si="13"/>
        <v>0.5003206638171794</v>
      </c>
      <c r="BD28" s="7">
        <f t="shared" si="20"/>
        <v>0</v>
      </c>
      <c r="BE28" s="76">
        <f t="shared" si="21"/>
        <v>0</v>
      </c>
      <c r="BF28" s="76">
        <f t="shared" si="22"/>
        <v>0</v>
      </c>
      <c r="BG28" s="76">
        <f t="shared" si="23"/>
        <v>1</v>
      </c>
      <c r="BH28" s="7">
        <f t="shared" si="24"/>
        <v>0</v>
      </c>
    </row>
    <row r="29" spans="1:60" s="8" customFormat="1" ht="15">
      <c r="A29" s="77" t="s">
        <v>88</v>
      </c>
      <c r="B29" s="78">
        <v>0</v>
      </c>
      <c r="C29" s="78">
        <v>2617.97575</v>
      </c>
      <c r="D29" s="78">
        <v>0</v>
      </c>
      <c r="E29" s="79">
        <f t="shared" si="14"/>
        <v>0</v>
      </c>
      <c r="F29" s="80"/>
      <c r="G29" s="81">
        <f t="shared" si="30"/>
        <v>1</v>
      </c>
      <c r="H29" s="82">
        <f t="shared" si="0"/>
        <v>1</v>
      </c>
      <c r="I29" s="78">
        <v>0</v>
      </c>
      <c r="J29" s="78">
        <v>276371.52958</v>
      </c>
      <c r="K29" s="83">
        <v>205151.96409999998</v>
      </c>
      <c r="L29" s="78">
        <v>39221.94033</v>
      </c>
      <c r="M29" s="78">
        <v>0</v>
      </c>
      <c r="N29" s="79">
        <f t="shared" si="25"/>
        <v>0</v>
      </c>
      <c r="O29" s="80"/>
      <c r="P29" s="81">
        <f t="shared" si="38"/>
        <v>1</v>
      </c>
      <c r="Q29" s="82">
        <f t="shared" si="2"/>
        <v>1</v>
      </c>
      <c r="R29" s="84">
        <v>0</v>
      </c>
      <c r="S29" s="78">
        <v>278989.50532999996</v>
      </c>
      <c r="T29" s="83">
        <v>113816.02255</v>
      </c>
      <c r="U29" s="79">
        <f t="shared" si="3"/>
        <v>0</v>
      </c>
      <c r="V29" s="80"/>
      <c r="W29" s="81">
        <f t="shared" si="37"/>
        <v>1</v>
      </c>
      <c r="X29" s="82">
        <f t="shared" si="15"/>
        <v>1</v>
      </c>
      <c r="Y29" s="78">
        <f t="shared" si="16"/>
        <v>2617.97575</v>
      </c>
      <c r="Z29" s="85"/>
      <c r="AA29" s="85">
        <v>2617.97575</v>
      </c>
      <c r="AB29" s="85"/>
      <c r="AC29" s="85">
        <f t="shared" si="5"/>
        <v>276371.52958</v>
      </c>
      <c r="AD29" s="85">
        <f t="shared" si="5"/>
        <v>205151.96409999998</v>
      </c>
      <c r="AE29" s="85">
        <f t="shared" si="5"/>
        <v>39221.94033</v>
      </c>
      <c r="AF29" s="85">
        <f t="shared" si="17"/>
        <v>31997.625149999993</v>
      </c>
      <c r="AG29" s="85">
        <f t="shared" si="36"/>
        <v>1599.8812574999997</v>
      </c>
      <c r="AH29" s="85">
        <f t="shared" si="29"/>
        <v>4217.8570075</v>
      </c>
      <c r="AI29" s="86">
        <f t="shared" si="8"/>
        <v>0</v>
      </c>
      <c r="AJ29" s="80"/>
      <c r="AK29" s="88">
        <f t="shared" si="35"/>
        <v>1.5</v>
      </c>
      <c r="AL29" s="82">
        <f t="shared" si="9"/>
        <v>1.5</v>
      </c>
      <c r="AM29" s="89">
        <v>11541.2</v>
      </c>
      <c r="AN29" s="81">
        <v>12266</v>
      </c>
      <c r="AO29" s="90">
        <f t="shared" si="10"/>
        <v>0.94090983205609</v>
      </c>
      <c r="AP29" s="80"/>
      <c r="AQ29" s="88">
        <f t="shared" si="33"/>
        <v>1</v>
      </c>
      <c r="AR29" s="91">
        <f t="shared" si="18"/>
        <v>1</v>
      </c>
      <c r="AS29" s="89">
        <v>28346.8</v>
      </c>
      <c r="AT29" s="81">
        <v>30284</v>
      </c>
      <c r="AU29" s="90">
        <f t="shared" si="19"/>
        <v>0.9360322282393343</v>
      </c>
      <c r="AV29" s="80"/>
      <c r="AW29" s="88">
        <f t="shared" si="34"/>
        <v>1</v>
      </c>
      <c r="AX29" s="91">
        <f t="shared" si="11"/>
        <v>1</v>
      </c>
      <c r="AY29" s="92">
        <f t="shared" si="12"/>
        <v>6.5</v>
      </c>
      <c r="AZ29" s="93"/>
      <c r="BA29" s="74">
        <v>44476.896</v>
      </c>
      <c r="BB29" s="7"/>
      <c r="BC29" s="75">
        <f t="shared" si="13"/>
        <v>0.5148938836907764</v>
      </c>
      <c r="BD29" s="7">
        <f t="shared" si="20"/>
        <v>0</v>
      </c>
      <c r="BE29" s="76">
        <f t="shared" si="21"/>
        <v>0</v>
      </c>
      <c r="BF29" s="76">
        <f t="shared" si="22"/>
        <v>0</v>
      </c>
      <c r="BG29" s="76">
        <f t="shared" si="23"/>
        <v>1</v>
      </c>
      <c r="BH29" s="7">
        <f t="shared" si="24"/>
        <v>0</v>
      </c>
    </row>
    <row r="30" spans="1:60" s="8" customFormat="1" ht="15">
      <c r="A30" s="77" t="s">
        <v>89</v>
      </c>
      <c r="B30" s="78">
        <v>0</v>
      </c>
      <c r="C30" s="78">
        <v>-4589.45982</v>
      </c>
      <c r="D30" s="78">
        <v>0</v>
      </c>
      <c r="E30" s="79">
        <f t="shared" si="14"/>
        <v>0</v>
      </c>
      <c r="F30" s="80"/>
      <c r="G30" s="81">
        <f t="shared" si="30"/>
        <v>1</v>
      </c>
      <c r="H30" s="82">
        <f t="shared" si="0"/>
        <v>1</v>
      </c>
      <c r="I30" s="78">
        <v>0</v>
      </c>
      <c r="J30" s="78">
        <v>389320.18402999995</v>
      </c>
      <c r="K30" s="83">
        <v>277514.42548000003</v>
      </c>
      <c r="L30" s="78">
        <v>67116.69249</v>
      </c>
      <c r="M30" s="78">
        <v>0</v>
      </c>
      <c r="N30" s="79">
        <f t="shared" si="25"/>
        <v>0</v>
      </c>
      <c r="O30" s="80"/>
      <c r="P30" s="81">
        <f>IF(N30&lt;=0.5,1,0)</f>
        <v>1</v>
      </c>
      <c r="Q30" s="82">
        <f>O30+P30</f>
        <v>1</v>
      </c>
      <c r="R30" s="84">
        <v>0</v>
      </c>
      <c r="S30" s="78">
        <v>384730.72420999996</v>
      </c>
      <c r="T30" s="83">
        <v>186446.64935</v>
      </c>
      <c r="U30" s="79">
        <f t="shared" si="3"/>
        <v>0</v>
      </c>
      <c r="V30" s="80"/>
      <c r="W30" s="81">
        <f t="shared" si="37"/>
        <v>1</v>
      </c>
      <c r="X30" s="82">
        <f t="shared" si="15"/>
        <v>1</v>
      </c>
      <c r="Y30" s="78">
        <f t="shared" si="16"/>
        <v>-4589.45982</v>
      </c>
      <c r="Z30" s="85"/>
      <c r="AA30" s="85">
        <v>-4589.45982</v>
      </c>
      <c r="AB30" s="85"/>
      <c r="AC30" s="85">
        <f t="shared" si="5"/>
        <v>389320.18402999995</v>
      </c>
      <c r="AD30" s="85">
        <f t="shared" si="5"/>
        <v>277514.42548000003</v>
      </c>
      <c r="AE30" s="85">
        <f t="shared" si="5"/>
        <v>67116.69249</v>
      </c>
      <c r="AF30" s="85">
        <f t="shared" si="17"/>
        <v>44689.06605999991</v>
      </c>
      <c r="AG30" s="85">
        <f>AF30*10%</f>
        <v>4468.906605999991</v>
      </c>
      <c r="AH30" s="85">
        <f t="shared" si="29"/>
        <v>4468.906605999991</v>
      </c>
      <c r="AI30" s="86">
        <f t="shared" si="8"/>
        <v>0</v>
      </c>
      <c r="AJ30" s="87"/>
      <c r="AK30" s="88">
        <f t="shared" si="35"/>
        <v>1.5</v>
      </c>
      <c r="AL30" s="82">
        <f t="shared" si="9"/>
        <v>1.5</v>
      </c>
      <c r="AM30" s="89">
        <v>14013.2</v>
      </c>
      <c r="AN30" s="81">
        <v>14513</v>
      </c>
      <c r="AO30" s="90">
        <f t="shared" si="10"/>
        <v>0.9655619100117137</v>
      </c>
      <c r="AP30" s="87"/>
      <c r="AQ30" s="88">
        <f t="shared" si="33"/>
        <v>1</v>
      </c>
      <c r="AR30" s="91">
        <f t="shared" si="18"/>
        <v>1</v>
      </c>
      <c r="AS30" s="89">
        <v>32094.4</v>
      </c>
      <c r="AT30" s="81">
        <v>34457</v>
      </c>
      <c r="AU30" s="90">
        <f t="shared" si="19"/>
        <v>0.9314333807354094</v>
      </c>
      <c r="AV30" s="87"/>
      <c r="AW30" s="88">
        <f t="shared" si="34"/>
        <v>1</v>
      </c>
      <c r="AX30" s="91">
        <f t="shared" si="11"/>
        <v>1</v>
      </c>
      <c r="AY30" s="92">
        <f t="shared" si="12"/>
        <v>6.5</v>
      </c>
      <c r="AZ30" s="93"/>
      <c r="BA30" s="74">
        <v>32919.397</v>
      </c>
      <c r="BB30" s="7"/>
      <c r="BC30" s="75">
        <f t="shared" si="13"/>
        <v>0.49309580792679875</v>
      </c>
      <c r="BD30" s="7">
        <f t="shared" si="20"/>
        <v>0</v>
      </c>
      <c r="BE30" s="76">
        <f t="shared" si="21"/>
        <v>0</v>
      </c>
      <c r="BF30" s="76">
        <f t="shared" si="22"/>
        <v>1</v>
      </c>
      <c r="BG30" s="76">
        <f t="shared" si="23"/>
        <v>0</v>
      </c>
      <c r="BH30" s="7">
        <f t="shared" si="24"/>
        <v>0</v>
      </c>
    </row>
    <row r="31" spans="1:60" s="8" customFormat="1" ht="15">
      <c r="A31" s="77" t="s">
        <v>90</v>
      </c>
      <c r="B31" s="78">
        <v>0</v>
      </c>
      <c r="C31" s="78">
        <v>800.18138</v>
      </c>
      <c r="D31" s="78">
        <v>0</v>
      </c>
      <c r="E31" s="79">
        <f t="shared" si="14"/>
        <v>0</v>
      </c>
      <c r="F31" s="80"/>
      <c r="G31" s="81">
        <f t="shared" si="30"/>
        <v>1</v>
      </c>
      <c r="H31" s="82">
        <f t="shared" si="0"/>
        <v>1</v>
      </c>
      <c r="I31" s="78">
        <v>0</v>
      </c>
      <c r="J31" s="78">
        <v>297606.07139</v>
      </c>
      <c r="K31" s="83">
        <v>262265.21504</v>
      </c>
      <c r="L31" s="78">
        <v>20776.555829999998</v>
      </c>
      <c r="M31" s="78">
        <v>0</v>
      </c>
      <c r="N31" s="79">
        <f t="shared" si="25"/>
        <v>0</v>
      </c>
      <c r="O31" s="80"/>
      <c r="P31" s="81">
        <f t="shared" si="38"/>
        <v>1</v>
      </c>
      <c r="Q31" s="82">
        <f t="shared" si="2"/>
        <v>1</v>
      </c>
      <c r="R31" s="84">
        <v>0</v>
      </c>
      <c r="S31" s="78">
        <v>298406.25276999996</v>
      </c>
      <c r="T31" s="83">
        <v>128347.79543000001</v>
      </c>
      <c r="U31" s="79">
        <f t="shared" si="3"/>
        <v>0</v>
      </c>
      <c r="V31" s="80"/>
      <c r="W31" s="81">
        <f t="shared" si="37"/>
        <v>1</v>
      </c>
      <c r="X31" s="82">
        <f t="shared" si="15"/>
        <v>1</v>
      </c>
      <c r="Y31" s="78">
        <f t="shared" si="16"/>
        <v>800.18138</v>
      </c>
      <c r="Z31" s="85"/>
      <c r="AA31" s="85">
        <v>800.18138</v>
      </c>
      <c r="AB31" s="85"/>
      <c r="AC31" s="85">
        <f t="shared" si="5"/>
        <v>297606.07139</v>
      </c>
      <c r="AD31" s="85">
        <f t="shared" si="5"/>
        <v>262265.21504</v>
      </c>
      <c r="AE31" s="85">
        <f t="shared" si="5"/>
        <v>20776.555829999998</v>
      </c>
      <c r="AF31" s="85">
        <f t="shared" si="17"/>
        <v>14564.300520000019</v>
      </c>
      <c r="AG31" s="85">
        <f t="shared" si="36"/>
        <v>728.215026000001</v>
      </c>
      <c r="AH31" s="85">
        <f t="shared" si="29"/>
        <v>1528.396406000001</v>
      </c>
      <c r="AI31" s="86">
        <f t="shared" si="8"/>
        <v>0</v>
      </c>
      <c r="AJ31" s="80"/>
      <c r="AK31" s="88">
        <f t="shared" si="35"/>
        <v>1.5</v>
      </c>
      <c r="AL31" s="82">
        <f t="shared" si="9"/>
        <v>1.5</v>
      </c>
      <c r="AM31" s="89">
        <v>7896.8</v>
      </c>
      <c r="AN31" s="81">
        <v>10129</v>
      </c>
      <c r="AO31" s="90">
        <f t="shared" si="10"/>
        <v>0.7796228650409714</v>
      </c>
      <c r="AP31" s="80"/>
      <c r="AQ31" s="88">
        <f t="shared" si="33"/>
        <v>1</v>
      </c>
      <c r="AR31" s="91">
        <f t="shared" si="18"/>
        <v>1</v>
      </c>
      <c r="AS31" s="89">
        <v>20495.6</v>
      </c>
      <c r="AT31" s="81">
        <v>24147</v>
      </c>
      <c r="AU31" s="90">
        <f t="shared" si="19"/>
        <v>0.8487845280987285</v>
      </c>
      <c r="AV31" s="80"/>
      <c r="AW31" s="88">
        <f t="shared" si="34"/>
        <v>1</v>
      </c>
      <c r="AX31" s="91">
        <f t="shared" si="11"/>
        <v>1</v>
      </c>
      <c r="AY31" s="92">
        <f t="shared" si="12"/>
        <v>6.5</v>
      </c>
      <c r="AZ31" s="93"/>
      <c r="BA31" s="74">
        <v>58950.027</v>
      </c>
      <c r="BB31" s="7"/>
      <c r="BC31" s="75">
        <f t="shared" si="13"/>
        <v>0.47103506388568794</v>
      </c>
      <c r="BD31" s="7">
        <f t="shared" si="20"/>
        <v>0</v>
      </c>
      <c r="BE31" s="76">
        <f t="shared" si="21"/>
        <v>0</v>
      </c>
      <c r="BF31" s="76">
        <f t="shared" si="22"/>
        <v>1</v>
      </c>
      <c r="BG31" s="76">
        <f t="shared" si="23"/>
        <v>0</v>
      </c>
      <c r="BH31" s="7">
        <f t="shared" si="24"/>
        <v>0</v>
      </c>
    </row>
    <row r="32" spans="1:60" s="8" customFormat="1" ht="15">
      <c r="A32" s="77" t="s">
        <v>91</v>
      </c>
      <c r="B32" s="78">
        <v>0</v>
      </c>
      <c r="C32" s="78">
        <v>1067.6393799999998</v>
      </c>
      <c r="D32" s="78">
        <v>0</v>
      </c>
      <c r="E32" s="79">
        <f t="shared" si="14"/>
        <v>0</v>
      </c>
      <c r="F32" s="80"/>
      <c r="G32" s="81">
        <f t="shared" si="30"/>
        <v>1</v>
      </c>
      <c r="H32" s="82">
        <f t="shared" si="0"/>
        <v>1</v>
      </c>
      <c r="I32" s="78">
        <v>0</v>
      </c>
      <c r="J32" s="78">
        <v>478637.08452</v>
      </c>
      <c r="K32" s="83">
        <v>343316.3725</v>
      </c>
      <c r="L32" s="78">
        <v>90236.9528</v>
      </c>
      <c r="M32" s="78">
        <v>0</v>
      </c>
      <c r="N32" s="79">
        <f t="shared" si="25"/>
        <v>0</v>
      </c>
      <c r="O32" s="80"/>
      <c r="P32" s="81">
        <f t="shared" si="38"/>
        <v>1</v>
      </c>
      <c r="Q32" s="82">
        <f t="shared" si="2"/>
        <v>1</v>
      </c>
      <c r="R32" s="84">
        <v>0</v>
      </c>
      <c r="S32" s="78">
        <v>479704.7239</v>
      </c>
      <c r="T32" s="83">
        <v>208287.56944</v>
      </c>
      <c r="U32" s="79">
        <f t="shared" si="3"/>
        <v>0</v>
      </c>
      <c r="V32" s="80"/>
      <c r="W32" s="81">
        <f t="shared" si="37"/>
        <v>1</v>
      </c>
      <c r="X32" s="82">
        <f t="shared" si="15"/>
        <v>1</v>
      </c>
      <c r="Y32" s="78">
        <f t="shared" si="16"/>
        <v>1067.6393799999998</v>
      </c>
      <c r="Z32" s="85"/>
      <c r="AA32" s="85">
        <v>1067.6393799999998</v>
      </c>
      <c r="AB32" s="85"/>
      <c r="AC32" s="85">
        <f t="shared" si="5"/>
        <v>478637.08452</v>
      </c>
      <c r="AD32" s="85">
        <f t="shared" si="5"/>
        <v>343316.3725</v>
      </c>
      <c r="AE32" s="85">
        <f t="shared" si="5"/>
        <v>90236.9528</v>
      </c>
      <c r="AF32" s="85">
        <f t="shared" si="17"/>
        <v>45083.75921999998</v>
      </c>
      <c r="AG32" s="85">
        <f t="shared" si="36"/>
        <v>2254.187960999999</v>
      </c>
      <c r="AH32" s="85">
        <f t="shared" si="29"/>
        <v>3321.8273409999993</v>
      </c>
      <c r="AI32" s="86">
        <f t="shared" si="8"/>
        <v>0</v>
      </c>
      <c r="AJ32" s="80"/>
      <c r="AK32" s="88">
        <f t="shared" si="35"/>
        <v>1.5</v>
      </c>
      <c r="AL32" s="82">
        <f t="shared" si="9"/>
        <v>1.5</v>
      </c>
      <c r="AM32" s="89">
        <v>13134.9</v>
      </c>
      <c r="AN32" s="81">
        <v>14513</v>
      </c>
      <c r="AO32" s="90">
        <f>AM32/AN32</f>
        <v>0.9050437538758355</v>
      </c>
      <c r="AP32" s="80"/>
      <c r="AQ32" s="88">
        <f t="shared" si="33"/>
        <v>1</v>
      </c>
      <c r="AR32" s="91">
        <f t="shared" si="18"/>
        <v>1</v>
      </c>
      <c r="AS32" s="89">
        <v>34393.8</v>
      </c>
      <c r="AT32" s="81">
        <v>34457</v>
      </c>
      <c r="AU32" s="90">
        <f t="shared" si="19"/>
        <v>0.9981658298749166</v>
      </c>
      <c r="AV32" s="80"/>
      <c r="AW32" s="88">
        <f t="shared" si="34"/>
        <v>1</v>
      </c>
      <c r="AX32" s="91">
        <f t="shared" si="11"/>
        <v>1</v>
      </c>
      <c r="AY32" s="92">
        <f t="shared" si="12"/>
        <v>6.5</v>
      </c>
      <c r="AZ32" s="93"/>
      <c r="BA32" s="74">
        <v>65081.66259000001</v>
      </c>
      <c r="BB32" s="7"/>
      <c r="BC32" s="75">
        <f t="shared" si="13"/>
        <v>0.5745104271558955</v>
      </c>
      <c r="BD32" s="7">
        <f t="shared" si="20"/>
        <v>0</v>
      </c>
      <c r="BE32" s="76">
        <f t="shared" si="21"/>
        <v>0</v>
      </c>
      <c r="BF32" s="76">
        <f t="shared" si="22"/>
        <v>0</v>
      </c>
      <c r="BG32" s="76">
        <f t="shared" si="23"/>
        <v>1</v>
      </c>
      <c r="BH32" s="7">
        <f t="shared" si="24"/>
        <v>0</v>
      </c>
    </row>
    <row r="33" spans="1:60" s="8" customFormat="1" ht="15">
      <c r="A33" s="77" t="s">
        <v>92</v>
      </c>
      <c r="B33" s="78">
        <v>0</v>
      </c>
      <c r="C33" s="78">
        <v>-13189.77025</v>
      </c>
      <c r="D33" s="78">
        <v>0</v>
      </c>
      <c r="E33" s="79">
        <f>IF(AND(B33=0,D33=0),0,B33/(IF(C33&gt;0,C33,0)+D33))</f>
        <v>0</v>
      </c>
      <c r="F33" s="80"/>
      <c r="G33" s="81">
        <f t="shared" si="30"/>
        <v>1</v>
      </c>
      <c r="H33" s="82">
        <f>F33+G33</f>
        <v>1</v>
      </c>
      <c r="I33" s="78">
        <v>0</v>
      </c>
      <c r="J33" s="78">
        <v>683595.86098</v>
      </c>
      <c r="K33" s="83">
        <v>520598.87325</v>
      </c>
      <c r="L33" s="78">
        <v>90491.29381999999</v>
      </c>
      <c r="M33" s="78">
        <v>0</v>
      </c>
      <c r="N33" s="79">
        <f>(I33-M33)/(J33-K33-L33)</f>
        <v>0</v>
      </c>
      <c r="O33" s="80"/>
      <c r="P33" s="81">
        <f t="shared" si="38"/>
        <v>1</v>
      </c>
      <c r="Q33" s="82">
        <f>O33+P33</f>
        <v>1</v>
      </c>
      <c r="R33" s="84">
        <v>0</v>
      </c>
      <c r="S33" s="78">
        <v>670406.09073</v>
      </c>
      <c r="T33" s="83">
        <v>310286.02732</v>
      </c>
      <c r="U33" s="79">
        <f>R33/(S33-T33)</f>
        <v>0</v>
      </c>
      <c r="V33" s="80"/>
      <c r="W33" s="81">
        <f t="shared" si="37"/>
        <v>1</v>
      </c>
      <c r="X33" s="82">
        <f t="shared" si="15"/>
        <v>1</v>
      </c>
      <c r="Y33" s="78">
        <f t="shared" si="16"/>
        <v>-13189.77025</v>
      </c>
      <c r="Z33" s="85"/>
      <c r="AA33" s="85">
        <v>-13189.77025</v>
      </c>
      <c r="AB33" s="85"/>
      <c r="AC33" s="85">
        <f t="shared" si="5"/>
        <v>683595.86098</v>
      </c>
      <c r="AD33" s="85">
        <f t="shared" si="5"/>
        <v>520598.87325</v>
      </c>
      <c r="AE33" s="85">
        <f t="shared" si="5"/>
        <v>90491.29381999999</v>
      </c>
      <c r="AF33" s="85">
        <f>AC33-AD33-AE33</f>
        <v>72505.69391</v>
      </c>
      <c r="AG33" s="85">
        <f>AF33*10%</f>
        <v>7250.569391000001</v>
      </c>
      <c r="AH33" s="85">
        <f>IF(AA33&gt;0,AA33,0)+AG33+IF(AB33&gt;0,AB33,0)</f>
        <v>7250.569391000001</v>
      </c>
      <c r="AI33" s="86">
        <f t="shared" si="8"/>
        <v>0</v>
      </c>
      <c r="AJ33" s="87"/>
      <c r="AK33" s="88">
        <f t="shared" si="35"/>
        <v>1.5</v>
      </c>
      <c r="AL33" s="82">
        <f>AJ33+AK33</f>
        <v>1.5</v>
      </c>
      <c r="AM33" s="89">
        <v>16859.3</v>
      </c>
      <c r="AN33" s="81">
        <v>17572</v>
      </c>
      <c r="AO33" s="90">
        <f>AM33/AN33</f>
        <v>0.9594411563851581</v>
      </c>
      <c r="AP33" s="87"/>
      <c r="AQ33" s="88">
        <f t="shared" si="33"/>
        <v>1</v>
      </c>
      <c r="AR33" s="91">
        <f>AP33+AQ33</f>
        <v>1</v>
      </c>
      <c r="AS33" s="89">
        <v>39818.9</v>
      </c>
      <c r="AT33" s="81">
        <v>40219</v>
      </c>
      <c r="AU33" s="90">
        <f t="shared" si="19"/>
        <v>0.990051965488948</v>
      </c>
      <c r="AV33" s="87"/>
      <c r="AW33" s="88">
        <f t="shared" si="34"/>
        <v>1</v>
      </c>
      <c r="AX33" s="91">
        <f t="shared" si="11"/>
        <v>1</v>
      </c>
      <c r="AY33" s="92">
        <f t="shared" si="12"/>
        <v>6.5</v>
      </c>
      <c r="AZ33" s="93"/>
      <c r="BA33" s="74">
        <v>83110.524</v>
      </c>
      <c r="BB33" s="7"/>
      <c r="BC33" s="75">
        <f t="shared" si="13"/>
        <v>0.4650341409921486</v>
      </c>
      <c r="BD33" s="7">
        <f t="shared" si="20"/>
        <v>0</v>
      </c>
      <c r="BE33" s="76">
        <f t="shared" si="21"/>
        <v>0</v>
      </c>
      <c r="BF33" s="76">
        <f t="shared" si="22"/>
        <v>1</v>
      </c>
      <c r="BG33" s="76">
        <f t="shared" si="23"/>
        <v>0</v>
      </c>
      <c r="BH33" s="7">
        <f t="shared" si="24"/>
        <v>0</v>
      </c>
    </row>
    <row r="34" spans="1:60" s="8" customFormat="1" ht="15">
      <c r="A34" s="100" t="s">
        <v>93</v>
      </c>
      <c r="B34" s="52">
        <v>0</v>
      </c>
      <c r="C34" s="52">
        <v>-1301.08171</v>
      </c>
      <c r="D34" s="52">
        <v>0</v>
      </c>
      <c r="E34" s="59">
        <f t="shared" si="14"/>
        <v>0</v>
      </c>
      <c r="F34" s="54">
        <f>IF(E34&lt;=1,1,0)</f>
        <v>1</v>
      </c>
      <c r="G34" s="66"/>
      <c r="H34" s="67">
        <f t="shared" si="0"/>
        <v>1</v>
      </c>
      <c r="I34" s="52">
        <v>0</v>
      </c>
      <c r="J34" s="52">
        <v>161611.46338</v>
      </c>
      <c r="K34" s="58">
        <v>122382.4185</v>
      </c>
      <c r="L34" s="52">
        <v>22207.38031</v>
      </c>
      <c r="M34" s="52">
        <v>0</v>
      </c>
      <c r="N34" s="59">
        <f>(I34-M34)/(J34-K34-L34)</f>
        <v>0</v>
      </c>
      <c r="O34" s="54">
        <f>IF(N34&lt;=1,1,0)</f>
        <v>1</v>
      </c>
      <c r="P34" s="66"/>
      <c r="Q34" s="67">
        <f>O34+P34</f>
        <v>1</v>
      </c>
      <c r="R34" s="96">
        <v>0</v>
      </c>
      <c r="S34" s="52">
        <v>160310.38166999997</v>
      </c>
      <c r="T34" s="58">
        <v>65120.027</v>
      </c>
      <c r="U34" s="59">
        <f>R34/(S34-T34)</f>
        <v>0</v>
      </c>
      <c r="V34" s="54">
        <f>IF(U34&lt;=0.15,1,0)</f>
        <v>1</v>
      </c>
      <c r="W34" s="66"/>
      <c r="X34" s="67">
        <f>V34+W34</f>
        <v>1</v>
      </c>
      <c r="Y34" s="52">
        <f t="shared" si="16"/>
        <v>-1301.08171</v>
      </c>
      <c r="Z34" s="62"/>
      <c r="AA34" s="62">
        <v>-1301.08171</v>
      </c>
      <c r="AB34" s="62"/>
      <c r="AC34" s="62">
        <f t="shared" si="5"/>
        <v>161611.46338</v>
      </c>
      <c r="AD34" s="62">
        <f t="shared" si="5"/>
        <v>122382.4185</v>
      </c>
      <c r="AE34" s="62">
        <f t="shared" si="5"/>
        <v>22207.38031</v>
      </c>
      <c r="AF34" s="62">
        <f t="shared" si="17"/>
        <v>17021.66457</v>
      </c>
      <c r="AG34" s="62">
        <f aca="true" t="shared" si="39" ref="AG34:AG39">AF34*5%</f>
        <v>851.0832285000001</v>
      </c>
      <c r="AH34" s="62">
        <f t="shared" si="29"/>
        <v>851.0832285000001</v>
      </c>
      <c r="AI34" s="101">
        <f>IF((Y34-IF(Z34&gt;0,Z34,0)-IF(AA34&gt;0,AA34,0)-IF(AB34&gt;0,AB34,0))/(AC34-AD34-AE34)&gt;0,(Y34-IF(Z34&gt;0,Z34,0)-IF(AA34&gt;0,AA34,0)-IF(AB34&gt;0,AB34,0))/(AC34-AD34-AE34),0)</f>
        <v>0</v>
      </c>
      <c r="AJ34" s="65">
        <f>IF(AI34&lt;=0.1,1.5,0)</f>
        <v>1.5</v>
      </c>
      <c r="AK34" s="102"/>
      <c r="AL34" s="67">
        <f>AJ34+AK34</f>
        <v>1.5</v>
      </c>
      <c r="AM34" s="68">
        <v>7117.5</v>
      </c>
      <c r="AN34" s="66">
        <v>9971</v>
      </c>
      <c r="AO34" s="99">
        <f>AM34/AN34</f>
        <v>0.7138200782268579</v>
      </c>
      <c r="AP34" s="65">
        <f>IF(AO34&lt;=1,1,0)</f>
        <v>1</v>
      </c>
      <c r="AQ34" s="102"/>
      <c r="AR34" s="103">
        <f>AP34+AQ34</f>
        <v>1</v>
      </c>
      <c r="AS34" s="68">
        <v>21845.4</v>
      </c>
      <c r="AT34" s="66">
        <v>25171</v>
      </c>
      <c r="AU34" s="99">
        <f>AS34/AT34</f>
        <v>0.8678797028326249</v>
      </c>
      <c r="AV34" s="65">
        <f>IF(AU34&lt;=1,1,0)</f>
        <v>1</v>
      </c>
      <c r="AW34" s="102"/>
      <c r="AX34" s="103">
        <f>AV34+AW34</f>
        <v>1</v>
      </c>
      <c r="AY34" s="97">
        <f>H34+Q34+X34+AL34+AR34+AX34</f>
        <v>6.5</v>
      </c>
      <c r="AZ34" s="93"/>
      <c r="BA34" s="74">
        <v>14925.824</v>
      </c>
      <c r="BB34" s="7"/>
      <c r="BC34" s="75">
        <f t="shared" si="13"/>
        <v>0.38483419568720073</v>
      </c>
      <c r="BD34" s="7">
        <f t="shared" si="20"/>
        <v>0</v>
      </c>
      <c r="BE34" s="76">
        <f t="shared" si="21"/>
        <v>0</v>
      </c>
      <c r="BF34" s="76">
        <f t="shared" si="22"/>
        <v>1</v>
      </c>
      <c r="BG34" s="76">
        <f t="shared" si="23"/>
        <v>0</v>
      </c>
      <c r="BH34" s="7">
        <f t="shared" si="24"/>
        <v>0</v>
      </c>
    </row>
    <row r="35" spans="1:60" s="8" customFormat="1" ht="15">
      <c r="A35" s="77" t="s">
        <v>94</v>
      </c>
      <c r="B35" s="78">
        <v>0</v>
      </c>
      <c r="C35" s="78">
        <v>1510.33801</v>
      </c>
      <c r="D35" s="78">
        <v>0</v>
      </c>
      <c r="E35" s="79">
        <f>IF(AND(B35=0,D35=0),0,B35/(IF(C35&gt;0,C35,0)+D35))</f>
        <v>0</v>
      </c>
      <c r="F35" s="80"/>
      <c r="G35" s="81">
        <f>IF(E35&lt;=1,1,0)</f>
        <v>1</v>
      </c>
      <c r="H35" s="82">
        <f t="shared" si="0"/>
        <v>1</v>
      </c>
      <c r="I35" s="78">
        <v>0</v>
      </c>
      <c r="J35" s="78">
        <v>284638.31442</v>
      </c>
      <c r="K35" s="83">
        <v>210217.71117</v>
      </c>
      <c r="L35" s="78">
        <v>36377.03105</v>
      </c>
      <c r="M35" s="78">
        <v>0</v>
      </c>
      <c r="N35" s="79">
        <f>(I35-M35)/(J35-K35-L35)</f>
        <v>0</v>
      </c>
      <c r="O35" s="80"/>
      <c r="P35" s="81">
        <f>IF(N35&lt;=0.5,1,0)</f>
        <v>1</v>
      </c>
      <c r="Q35" s="82">
        <f>O35+P35</f>
        <v>1</v>
      </c>
      <c r="R35" s="84">
        <v>0</v>
      </c>
      <c r="S35" s="78">
        <v>286148.65243</v>
      </c>
      <c r="T35" s="83">
        <v>113382.39956</v>
      </c>
      <c r="U35" s="79">
        <f>R35/(S35-T35)</f>
        <v>0</v>
      </c>
      <c r="V35" s="80"/>
      <c r="W35" s="81">
        <f>IF(U35&lt;=0.15,1,0)</f>
        <v>1</v>
      </c>
      <c r="X35" s="82">
        <f>V35+W35</f>
        <v>1</v>
      </c>
      <c r="Y35" s="78">
        <f t="shared" si="16"/>
        <v>1510.33801</v>
      </c>
      <c r="Z35" s="85"/>
      <c r="AA35" s="85">
        <v>1510.33801</v>
      </c>
      <c r="AB35" s="85"/>
      <c r="AC35" s="85">
        <f t="shared" si="5"/>
        <v>284638.31442</v>
      </c>
      <c r="AD35" s="85">
        <f t="shared" si="5"/>
        <v>210217.71117</v>
      </c>
      <c r="AE35" s="85">
        <f t="shared" si="5"/>
        <v>36377.03105</v>
      </c>
      <c r="AF35" s="85">
        <f t="shared" si="17"/>
        <v>38043.57220000002</v>
      </c>
      <c r="AG35" s="85">
        <f t="shared" si="39"/>
        <v>1902.1786100000008</v>
      </c>
      <c r="AH35" s="85">
        <f t="shared" si="29"/>
        <v>3412.516620000001</v>
      </c>
      <c r="AI35" s="86">
        <f>IF((Y35-IF(Z35&gt;0,Z35,0)-IF(AA35&gt;0,AA35,0)-IF(AB35&gt;0,AB35,0))/(AC35-AD35-AE35)&gt;0,(Y35-IF(Z35&gt;0,Z35,0)-IF(AA35&gt;0,AA35,0)-IF(AB35&gt;0,AB35,0))/(AC35-AD35-AE35),0)</f>
        <v>0</v>
      </c>
      <c r="AJ35" s="87"/>
      <c r="AK35" s="88">
        <f>IF(AI35&lt;=0.05,1.5,0)</f>
        <v>1.5</v>
      </c>
      <c r="AL35" s="82">
        <f>AJ35+AK35</f>
        <v>1.5</v>
      </c>
      <c r="AM35" s="89">
        <v>11217.8</v>
      </c>
      <c r="AN35" s="81">
        <v>12266</v>
      </c>
      <c r="AO35" s="90">
        <f>AM35/AN35</f>
        <v>0.914544268710256</v>
      </c>
      <c r="AP35" s="87"/>
      <c r="AQ35" s="88">
        <f>IF(AO35&lt;=1,1,0)</f>
        <v>1</v>
      </c>
      <c r="AR35" s="91">
        <f>AP35+AQ35</f>
        <v>1</v>
      </c>
      <c r="AS35" s="89">
        <v>27324.1</v>
      </c>
      <c r="AT35" s="81">
        <v>30284</v>
      </c>
      <c r="AU35" s="90">
        <f>AS35/AT35</f>
        <v>0.9022619204860652</v>
      </c>
      <c r="AV35" s="87"/>
      <c r="AW35" s="88">
        <f>IF(AU35&lt;=1,1,0)</f>
        <v>1</v>
      </c>
      <c r="AX35" s="91">
        <f>AV35+AW35</f>
        <v>1</v>
      </c>
      <c r="AY35" s="92">
        <f>H35+Q35+X35+AL35+AR35+AX35</f>
        <v>6.5</v>
      </c>
      <c r="AZ35" s="98"/>
      <c r="BA35" s="74">
        <v>56325.592</v>
      </c>
      <c r="BB35" s="7"/>
      <c r="BC35" s="75">
        <f t="shared" si="13"/>
        <v>0.5413104891926416</v>
      </c>
      <c r="BD35" s="7">
        <f t="shared" si="20"/>
        <v>0</v>
      </c>
      <c r="BE35" s="76">
        <f t="shared" si="21"/>
        <v>0</v>
      </c>
      <c r="BF35" s="76">
        <f t="shared" si="22"/>
        <v>0</v>
      </c>
      <c r="BG35" s="76">
        <f t="shared" si="23"/>
        <v>1</v>
      </c>
      <c r="BH35" s="7">
        <f t="shared" si="24"/>
        <v>0</v>
      </c>
    </row>
    <row r="36" spans="1:60" s="8" customFormat="1" ht="15">
      <c r="A36" s="100" t="s">
        <v>95</v>
      </c>
      <c r="B36" s="52">
        <v>0</v>
      </c>
      <c r="C36" s="52">
        <v>22974.91973</v>
      </c>
      <c r="D36" s="52">
        <v>0</v>
      </c>
      <c r="E36" s="59">
        <f t="shared" si="14"/>
        <v>0</v>
      </c>
      <c r="F36" s="95">
        <f>IF(E36&lt;=1,1,0)</f>
        <v>1</v>
      </c>
      <c r="G36" s="66"/>
      <c r="H36" s="67">
        <f t="shared" si="0"/>
        <v>1</v>
      </c>
      <c r="I36" s="52">
        <v>0</v>
      </c>
      <c r="J36" s="52">
        <v>366617.66952</v>
      </c>
      <c r="K36" s="58">
        <v>235858.89877</v>
      </c>
      <c r="L36" s="52">
        <v>64298.67122</v>
      </c>
      <c r="M36" s="52">
        <v>0</v>
      </c>
      <c r="N36" s="59">
        <f t="shared" si="25"/>
        <v>0</v>
      </c>
      <c r="O36" s="95">
        <f>IF(N36&lt;=1,1,0)</f>
        <v>1</v>
      </c>
      <c r="P36" s="66"/>
      <c r="Q36" s="67">
        <f t="shared" si="2"/>
        <v>1</v>
      </c>
      <c r="R36" s="96">
        <v>0</v>
      </c>
      <c r="S36" s="52">
        <v>389592.58925</v>
      </c>
      <c r="T36" s="58">
        <v>169495.48305</v>
      </c>
      <c r="U36" s="59">
        <f t="shared" si="3"/>
        <v>0</v>
      </c>
      <c r="V36" s="95">
        <f>IF(U36&lt;=0.15,1,0)</f>
        <v>1</v>
      </c>
      <c r="W36" s="66"/>
      <c r="X36" s="67">
        <f t="shared" si="15"/>
        <v>1</v>
      </c>
      <c r="Y36" s="52">
        <f t="shared" si="16"/>
        <v>22974.91973</v>
      </c>
      <c r="Z36" s="62"/>
      <c r="AA36" s="62">
        <v>22974.91973</v>
      </c>
      <c r="AB36" s="62"/>
      <c r="AC36" s="62">
        <f t="shared" si="5"/>
        <v>366617.66952</v>
      </c>
      <c r="AD36" s="62">
        <f t="shared" si="5"/>
        <v>235858.89877</v>
      </c>
      <c r="AE36" s="62">
        <f t="shared" si="5"/>
        <v>64298.67122</v>
      </c>
      <c r="AF36" s="62">
        <f t="shared" si="17"/>
        <v>66460.09953</v>
      </c>
      <c r="AG36" s="62">
        <f t="shared" si="39"/>
        <v>3323.0049765000003</v>
      </c>
      <c r="AH36" s="62">
        <f t="shared" si="29"/>
        <v>26297.9247065</v>
      </c>
      <c r="AI36" s="101">
        <f t="shared" si="8"/>
        <v>0</v>
      </c>
      <c r="AJ36" s="65">
        <f>IF(AI36&lt;=0.1,1.5,0)</f>
        <v>1.5</v>
      </c>
      <c r="AK36" s="102"/>
      <c r="AL36" s="67">
        <f t="shared" si="9"/>
        <v>1.5</v>
      </c>
      <c r="AM36" s="68">
        <v>11719.9</v>
      </c>
      <c r="AN36" s="66">
        <v>12103</v>
      </c>
      <c r="AO36" s="99">
        <f t="shared" si="10"/>
        <v>0.9683466909030819</v>
      </c>
      <c r="AP36" s="65">
        <f>IF(AO36&lt;=1,1,0)</f>
        <v>1</v>
      </c>
      <c r="AQ36" s="102"/>
      <c r="AR36" s="103">
        <f t="shared" si="18"/>
        <v>1</v>
      </c>
      <c r="AS36" s="68">
        <v>28544</v>
      </c>
      <c r="AT36" s="66">
        <v>28598</v>
      </c>
      <c r="AU36" s="99">
        <f t="shared" si="19"/>
        <v>0.9981117560668579</v>
      </c>
      <c r="AV36" s="65">
        <f>IF(AU36&lt;=1,1,0)</f>
        <v>1</v>
      </c>
      <c r="AW36" s="102"/>
      <c r="AX36" s="103">
        <f t="shared" si="11"/>
        <v>1</v>
      </c>
      <c r="AY36" s="97">
        <f t="shared" si="12"/>
        <v>6.5</v>
      </c>
      <c r="AZ36" s="93"/>
      <c r="BA36" s="74">
        <v>19553.02</v>
      </c>
      <c r="BB36" s="7"/>
      <c r="BC36" s="75">
        <f t="shared" si="13"/>
        <v>0.42537926715195695</v>
      </c>
      <c r="BD36" s="7">
        <f t="shared" si="20"/>
        <v>0</v>
      </c>
      <c r="BE36" s="76">
        <f t="shared" si="21"/>
        <v>0</v>
      </c>
      <c r="BF36" s="76">
        <f t="shared" si="22"/>
        <v>1</v>
      </c>
      <c r="BG36" s="76">
        <f t="shared" si="23"/>
        <v>0</v>
      </c>
      <c r="BH36" s="7">
        <f t="shared" si="24"/>
        <v>0</v>
      </c>
    </row>
    <row r="37" spans="1:60" s="8" customFormat="1" ht="15">
      <c r="A37" s="77" t="s">
        <v>96</v>
      </c>
      <c r="B37" s="78">
        <v>0</v>
      </c>
      <c r="C37" s="78">
        <v>-6481.09084</v>
      </c>
      <c r="D37" s="78">
        <v>0</v>
      </c>
      <c r="E37" s="79">
        <f t="shared" si="14"/>
        <v>0</v>
      </c>
      <c r="F37" s="80"/>
      <c r="G37" s="81">
        <f>IF(E37&lt;=1,1,0)</f>
        <v>1</v>
      </c>
      <c r="H37" s="82">
        <f t="shared" si="0"/>
        <v>1</v>
      </c>
      <c r="I37" s="78">
        <v>0</v>
      </c>
      <c r="J37" s="78">
        <v>345870.00517</v>
      </c>
      <c r="K37" s="83">
        <v>259145.84775</v>
      </c>
      <c r="L37" s="78">
        <v>49007.35886</v>
      </c>
      <c r="M37" s="78">
        <v>0</v>
      </c>
      <c r="N37" s="79">
        <f t="shared" si="25"/>
        <v>0</v>
      </c>
      <c r="O37" s="80"/>
      <c r="P37" s="81">
        <f t="shared" si="38"/>
        <v>1</v>
      </c>
      <c r="Q37" s="82">
        <f t="shared" si="2"/>
        <v>1</v>
      </c>
      <c r="R37" s="84">
        <v>0</v>
      </c>
      <c r="S37" s="78">
        <v>339388.91433</v>
      </c>
      <c r="T37" s="83">
        <v>97562.80211</v>
      </c>
      <c r="U37" s="79">
        <f t="shared" si="3"/>
        <v>0</v>
      </c>
      <c r="V37" s="80"/>
      <c r="W37" s="81">
        <f t="shared" si="37"/>
        <v>1</v>
      </c>
      <c r="X37" s="82">
        <f t="shared" si="15"/>
        <v>1</v>
      </c>
      <c r="Y37" s="78">
        <f t="shared" si="16"/>
        <v>-6481.09084</v>
      </c>
      <c r="Z37" s="85"/>
      <c r="AA37" s="85">
        <v>-6481.09084</v>
      </c>
      <c r="AB37" s="85"/>
      <c r="AC37" s="85">
        <f t="shared" si="5"/>
        <v>345870.00517</v>
      </c>
      <c r="AD37" s="85">
        <f t="shared" si="5"/>
        <v>259145.84775</v>
      </c>
      <c r="AE37" s="85">
        <f t="shared" si="5"/>
        <v>49007.35886</v>
      </c>
      <c r="AF37" s="85">
        <f t="shared" si="17"/>
        <v>37716.79856000003</v>
      </c>
      <c r="AG37" s="85">
        <f t="shared" si="39"/>
        <v>1885.8399280000017</v>
      </c>
      <c r="AH37" s="85">
        <f t="shared" si="29"/>
        <v>1885.8399280000017</v>
      </c>
      <c r="AI37" s="86">
        <f t="shared" si="8"/>
        <v>0</v>
      </c>
      <c r="AJ37" s="80"/>
      <c r="AK37" s="88">
        <f>IF(AI37&lt;=0.05,1.5,0)</f>
        <v>1.5</v>
      </c>
      <c r="AL37" s="82">
        <f t="shared" si="9"/>
        <v>1.5</v>
      </c>
      <c r="AM37" s="89">
        <v>11037.3</v>
      </c>
      <c r="AN37" s="81">
        <v>12266</v>
      </c>
      <c r="AO37" s="90">
        <f t="shared" si="10"/>
        <v>0.8998287950432088</v>
      </c>
      <c r="AP37" s="80"/>
      <c r="AQ37" s="88">
        <f>IF(AO37&lt;=1,1,0)</f>
        <v>1</v>
      </c>
      <c r="AR37" s="91">
        <f t="shared" si="18"/>
        <v>1</v>
      </c>
      <c r="AS37" s="89">
        <v>29520.2</v>
      </c>
      <c r="AT37" s="81">
        <v>30284</v>
      </c>
      <c r="AU37" s="90">
        <f t="shared" si="19"/>
        <v>0.9747787610619469</v>
      </c>
      <c r="AV37" s="80"/>
      <c r="AW37" s="88">
        <f>IF(AU37&lt;=1,1,0)</f>
        <v>1</v>
      </c>
      <c r="AX37" s="91">
        <f t="shared" si="11"/>
        <v>1</v>
      </c>
      <c r="AY37" s="92">
        <f t="shared" si="12"/>
        <v>6.5</v>
      </c>
      <c r="AZ37" s="93"/>
      <c r="BA37" s="74">
        <v>49196.446</v>
      </c>
      <c r="BB37" s="7"/>
      <c r="BC37" s="75">
        <f t="shared" si="13"/>
        <v>0.39549317800607825</v>
      </c>
      <c r="BD37" s="7">
        <f t="shared" si="20"/>
        <v>0</v>
      </c>
      <c r="BE37" s="76">
        <f t="shared" si="21"/>
        <v>0</v>
      </c>
      <c r="BF37" s="76">
        <f t="shared" si="22"/>
        <v>1</v>
      </c>
      <c r="BG37" s="76">
        <f t="shared" si="23"/>
        <v>0</v>
      </c>
      <c r="BH37" s="7">
        <f t="shared" si="24"/>
        <v>0</v>
      </c>
    </row>
    <row r="38" spans="1:60" s="8" customFormat="1" ht="15">
      <c r="A38" s="77" t="s">
        <v>97</v>
      </c>
      <c r="B38" s="78">
        <v>0</v>
      </c>
      <c r="C38" s="78">
        <v>-9863.94429</v>
      </c>
      <c r="D38" s="78">
        <v>0</v>
      </c>
      <c r="E38" s="79">
        <f t="shared" si="14"/>
        <v>0</v>
      </c>
      <c r="F38" s="80"/>
      <c r="G38" s="81">
        <f>IF(E38&lt;=1,1,0)</f>
        <v>1</v>
      </c>
      <c r="H38" s="82">
        <f t="shared" si="0"/>
        <v>1</v>
      </c>
      <c r="I38" s="78">
        <v>0</v>
      </c>
      <c r="J38" s="78">
        <v>496349.76064999995</v>
      </c>
      <c r="K38" s="83">
        <v>391064.66054</v>
      </c>
      <c r="L38" s="78">
        <v>63043.98744</v>
      </c>
      <c r="M38" s="78">
        <v>0</v>
      </c>
      <c r="N38" s="79">
        <f t="shared" si="25"/>
        <v>0</v>
      </c>
      <c r="O38" s="80"/>
      <c r="P38" s="81">
        <f t="shared" si="38"/>
        <v>1</v>
      </c>
      <c r="Q38" s="82">
        <f t="shared" si="2"/>
        <v>1</v>
      </c>
      <c r="R38" s="84">
        <v>0</v>
      </c>
      <c r="S38" s="78">
        <v>486485.81636</v>
      </c>
      <c r="T38" s="83">
        <v>177252.94947999998</v>
      </c>
      <c r="U38" s="79">
        <f t="shared" si="3"/>
        <v>0</v>
      </c>
      <c r="V38" s="80"/>
      <c r="W38" s="81">
        <f t="shared" si="37"/>
        <v>1</v>
      </c>
      <c r="X38" s="82">
        <f t="shared" si="15"/>
        <v>1</v>
      </c>
      <c r="Y38" s="78">
        <f t="shared" si="16"/>
        <v>-9863.94429</v>
      </c>
      <c r="Z38" s="85"/>
      <c r="AA38" s="85">
        <v>-9863.94429</v>
      </c>
      <c r="AB38" s="85"/>
      <c r="AC38" s="85">
        <f t="shared" si="5"/>
        <v>496349.76064999995</v>
      </c>
      <c r="AD38" s="85">
        <f t="shared" si="5"/>
        <v>391064.66054</v>
      </c>
      <c r="AE38" s="85">
        <f t="shared" si="5"/>
        <v>63043.98744</v>
      </c>
      <c r="AF38" s="85">
        <f t="shared" si="17"/>
        <v>42241.112669999944</v>
      </c>
      <c r="AG38" s="85">
        <f t="shared" si="39"/>
        <v>2112.0556334999974</v>
      </c>
      <c r="AH38" s="85">
        <f t="shared" si="29"/>
        <v>2112.0556334999974</v>
      </c>
      <c r="AI38" s="86">
        <f t="shared" si="8"/>
        <v>0</v>
      </c>
      <c r="AJ38" s="80"/>
      <c r="AK38" s="88">
        <f>IF(AI38&lt;=0.05,1.5,0)</f>
        <v>1.5</v>
      </c>
      <c r="AL38" s="82">
        <f t="shared" si="9"/>
        <v>1.5</v>
      </c>
      <c r="AM38" s="89">
        <v>12728.9</v>
      </c>
      <c r="AN38" s="81">
        <v>14513</v>
      </c>
      <c r="AO38" s="90">
        <f t="shared" si="10"/>
        <v>0.8770688348377317</v>
      </c>
      <c r="AP38" s="80"/>
      <c r="AQ38" s="88">
        <f>IF(AO38&lt;=1,1,0)</f>
        <v>1</v>
      </c>
      <c r="AR38" s="91">
        <f t="shared" si="18"/>
        <v>1</v>
      </c>
      <c r="AS38" s="89">
        <v>33786.7</v>
      </c>
      <c r="AT38" s="81">
        <v>34457</v>
      </c>
      <c r="AU38" s="90">
        <f t="shared" si="19"/>
        <v>0.9805467684360216</v>
      </c>
      <c r="AV38" s="80"/>
      <c r="AW38" s="88">
        <f>IF(AU38&lt;=1,1,0)</f>
        <v>1</v>
      </c>
      <c r="AX38" s="91">
        <f t="shared" si="11"/>
        <v>1</v>
      </c>
      <c r="AY38" s="92">
        <f t="shared" si="12"/>
        <v>6.5</v>
      </c>
      <c r="AZ38" s="93"/>
      <c r="BA38" s="74">
        <v>44642.803</v>
      </c>
      <c r="BB38" s="7"/>
      <c r="BC38" s="75">
        <f t="shared" si="13"/>
        <v>0.33747372794217445</v>
      </c>
      <c r="BD38" s="7">
        <f t="shared" si="20"/>
        <v>0</v>
      </c>
      <c r="BE38" s="76">
        <f t="shared" si="21"/>
        <v>0</v>
      </c>
      <c r="BF38" s="76">
        <f t="shared" si="22"/>
        <v>1</v>
      </c>
      <c r="BG38" s="76">
        <f t="shared" si="23"/>
        <v>0</v>
      </c>
      <c r="BH38" s="7">
        <f t="shared" si="24"/>
        <v>0</v>
      </c>
    </row>
    <row r="39" spans="1:60" ht="15">
      <c r="A39" s="77" t="s">
        <v>98</v>
      </c>
      <c r="B39" s="78">
        <v>0</v>
      </c>
      <c r="C39" s="78">
        <v>-1198.89254</v>
      </c>
      <c r="D39" s="78">
        <v>0</v>
      </c>
      <c r="E39" s="79">
        <f t="shared" si="14"/>
        <v>0</v>
      </c>
      <c r="F39" s="80"/>
      <c r="G39" s="81">
        <f>IF(E39&lt;=1,1,0)</f>
        <v>1</v>
      </c>
      <c r="H39" s="82">
        <f>F39+G39</f>
        <v>1</v>
      </c>
      <c r="I39" s="78">
        <v>5000</v>
      </c>
      <c r="J39" s="78">
        <v>547668.91915</v>
      </c>
      <c r="K39" s="83">
        <v>420189.68127</v>
      </c>
      <c r="L39" s="78">
        <v>67354.40992</v>
      </c>
      <c r="M39" s="78">
        <v>0</v>
      </c>
      <c r="N39" s="79">
        <f t="shared" si="25"/>
        <v>0.08316032111270931</v>
      </c>
      <c r="O39" s="80"/>
      <c r="P39" s="81">
        <f t="shared" si="38"/>
        <v>1</v>
      </c>
      <c r="Q39" s="82">
        <f>O39+P39</f>
        <v>1</v>
      </c>
      <c r="R39" s="84">
        <v>617.3383699999999</v>
      </c>
      <c r="S39" s="78">
        <v>546470.0266100001</v>
      </c>
      <c r="T39" s="83">
        <v>203126.72404</v>
      </c>
      <c r="U39" s="79">
        <f t="shared" si="3"/>
        <v>0.0017980207139008876</v>
      </c>
      <c r="V39" s="80"/>
      <c r="W39" s="81">
        <f t="shared" si="37"/>
        <v>1</v>
      </c>
      <c r="X39" s="82">
        <f t="shared" si="15"/>
        <v>1</v>
      </c>
      <c r="Y39" s="78">
        <f t="shared" si="16"/>
        <v>-1198.89254</v>
      </c>
      <c r="Z39" s="85"/>
      <c r="AA39" s="85">
        <v>-1198.89254</v>
      </c>
      <c r="AB39" s="85"/>
      <c r="AC39" s="85">
        <f t="shared" si="5"/>
        <v>547668.91915</v>
      </c>
      <c r="AD39" s="85">
        <f t="shared" si="5"/>
        <v>420189.68127</v>
      </c>
      <c r="AE39" s="85">
        <f t="shared" si="5"/>
        <v>67354.40992</v>
      </c>
      <c r="AF39" s="85">
        <f t="shared" si="17"/>
        <v>60124.827959999966</v>
      </c>
      <c r="AG39" s="85">
        <f t="shared" si="39"/>
        <v>3006.2413979999983</v>
      </c>
      <c r="AH39" s="85">
        <f t="shared" si="29"/>
        <v>3006.2413979999983</v>
      </c>
      <c r="AI39" s="86">
        <f t="shared" si="8"/>
        <v>0</v>
      </c>
      <c r="AJ39" s="87"/>
      <c r="AK39" s="88">
        <f>IF(AI39&lt;=0.05,1.5,0)</f>
        <v>1.5</v>
      </c>
      <c r="AL39" s="82">
        <f t="shared" si="9"/>
        <v>1.5</v>
      </c>
      <c r="AM39" s="89">
        <v>17740.600000000002</v>
      </c>
      <c r="AN39" s="81">
        <v>17572</v>
      </c>
      <c r="AO39" s="90">
        <f t="shared" si="10"/>
        <v>1.0095948099248806</v>
      </c>
      <c r="AP39" s="87"/>
      <c r="AQ39" s="88">
        <f>IF(AO39&lt;=1,1,0)</f>
        <v>0</v>
      </c>
      <c r="AR39" s="91">
        <f>AP39+AQ39</f>
        <v>0</v>
      </c>
      <c r="AS39" s="89">
        <v>37666.9</v>
      </c>
      <c r="AT39" s="81">
        <v>40219</v>
      </c>
      <c r="AU39" s="90">
        <f t="shared" si="19"/>
        <v>0.9365449165817151</v>
      </c>
      <c r="AV39" s="87"/>
      <c r="AW39" s="88">
        <f>IF(AU39&lt;=1,1,0)</f>
        <v>1</v>
      </c>
      <c r="AX39" s="91">
        <f t="shared" si="11"/>
        <v>1</v>
      </c>
      <c r="AY39" s="92">
        <f t="shared" si="12"/>
        <v>5.5</v>
      </c>
      <c r="AZ39" s="93"/>
      <c r="BA39" s="74">
        <v>76667.68096</v>
      </c>
      <c r="BC39" s="75">
        <f t="shared" si="13"/>
        <v>0.41801002293498163</v>
      </c>
      <c r="BD39" s="7">
        <f t="shared" si="20"/>
        <v>0</v>
      </c>
      <c r="BE39" s="76">
        <f t="shared" si="21"/>
        <v>0</v>
      </c>
      <c r="BF39" s="76">
        <f t="shared" si="22"/>
        <v>1</v>
      </c>
      <c r="BG39" s="76">
        <f t="shared" si="23"/>
        <v>0</v>
      </c>
      <c r="BH39" s="7">
        <f t="shared" si="24"/>
        <v>0</v>
      </c>
    </row>
    <row r="40" spans="1:60" ht="15">
      <c r="A40" s="77" t="s">
        <v>99</v>
      </c>
      <c r="B40" s="78">
        <v>0</v>
      </c>
      <c r="C40" s="78">
        <v>-1461.72401</v>
      </c>
      <c r="D40" s="78">
        <v>0</v>
      </c>
      <c r="E40" s="79">
        <f t="shared" si="14"/>
        <v>0</v>
      </c>
      <c r="F40" s="80"/>
      <c r="G40" s="81">
        <f>IF(E40&lt;=1,1,0)</f>
        <v>1</v>
      </c>
      <c r="H40" s="82">
        <f t="shared" si="0"/>
        <v>1</v>
      </c>
      <c r="I40" s="78">
        <v>0</v>
      </c>
      <c r="J40" s="78">
        <v>592675.2889500001</v>
      </c>
      <c r="K40" s="83">
        <v>410099.61679</v>
      </c>
      <c r="L40" s="78">
        <v>105562.90514</v>
      </c>
      <c r="M40" s="78">
        <v>0</v>
      </c>
      <c r="N40" s="79">
        <f t="shared" si="25"/>
        <v>0</v>
      </c>
      <c r="O40" s="80"/>
      <c r="P40" s="81">
        <f>IF(N40&lt;=0.5,1,0)</f>
        <v>1</v>
      </c>
      <c r="Q40" s="82">
        <f t="shared" si="2"/>
        <v>1</v>
      </c>
      <c r="R40" s="84">
        <v>0</v>
      </c>
      <c r="S40" s="78">
        <v>591213.5649400001</v>
      </c>
      <c r="T40" s="83">
        <v>280843.37581</v>
      </c>
      <c r="U40" s="79">
        <f t="shared" si="3"/>
        <v>0</v>
      </c>
      <c r="V40" s="80"/>
      <c r="W40" s="81">
        <f>IF(U40&lt;=0.15,1,0)</f>
        <v>1</v>
      </c>
      <c r="X40" s="82">
        <f t="shared" si="15"/>
        <v>1</v>
      </c>
      <c r="Y40" s="78">
        <f t="shared" si="16"/>
        <v>-1461.72401</v>
      </c>
      <c r="Z40" s="85">
        <v>124.95</v>
      </c>
      <c r="AA40" s="85">
        <v>-1586.67401</v>
      </c>
      <c r="AB40" s="85"/>
      <c r="AC40" s="85">
        <f t="shared" si="5"/>
        <v>592675.2889500001</v>
      </c>
      <c r="AD40" s="85">
        <f t="shared" si="5"/>
        <v>410099.61679</v>
      </c>
      <c r="AE40" s="85">
        <f t="shared" si="5"/>
        <v>105562.90514</v>
      </c>
      <c r="AF40" s="85">
        <f t="shared" si="17"/>
        <v>77012.76702000007</v>
      </c>
      <c r="AG40" s="85">
        <f>AF40*10%</f>
        <v>7701.276702000007</v>
      </c>
      <c r="AH40" s="85">
        <f t="shared" si="29"/>
        <v>7701.276702000007</v>
      </c>
      <c r="AI40" s="86">
        <f t="shared" si="8"/>
        <v>0</v>
      </c>
      <c r="AJ40" s="80"/>
      <c r="AK40" s="88">
        <f>IF(AI40&lt;=0.05,1.5,0)</f>
        <v>1.5</v>
      </c>
      <c r="AL40" s="82">
        <f t="shared" si="9"/>
        <v>1.5</v>
      </c>
      <c r="AM40" s="89">
        <v>17474</v>
      </c>
      <c r="AN40" s="81">
        <v>17572</v>
      </c>
      <c r="AO40" s="90">
        <f t="shared" si="10"/>
        <v>0.9944229455952652</v>
      </c>
      <c r="AP40" s="80"/>
      <c r="AQ40" s="88">
        <f>IF(AO40&lt;=1,1,0)</f>
        <v>1</v>
      </c>
      <c r="AR40" s="91">
        <f>AP40+AQ40</f>
        <v>1</v>
      </c>
      <c r="AS40" s="89">
        <v>39461.5</v>
      </c>
      <c r="AT40" s="81">
        <v>40219</v>
      </c>
      <c r="AU40" s="90">
        <f t="shared" si="19"/>
        <v>0.9811656182401353</v>
      </c>
      <c r="AV40" s="80"/>
      <c r="AW40" s="88">
        <f>IF(AU40&lt;=1,1,0)</f>
        <v>1</v>
      </c>
      <c r="AX40" s="91">
        <f t="shared" si="11"/>
        <v>1</v>
      </c>
      <c r="AY40" s="92">
        <f t="shared" si="12"/>
        <v>6.5</v>
      </c>
      <c r="AZ40" s="73"/>
      <c r="BA40" s="74">
        <v>34090.917</v>
      </c>
      <c r="BC40" s="75">
        <f t="shared" si="13"/>
        <v>0.44784967880212123</v>
      </c>
      <c r="BD40" s="7">
        <f t="shared" si="20"/>
        <v>0</v>
      </c>
      <c r="BE40" s="76">
        <f t="shared" si="21"/>
        <v>0</v>
      </c>
      <c r="BF40" s="76">
        <f t="shared" si="22"/>
        <v>1</v>
      </c>
      <c r="BG40" s="76">
        <f t="shared" si="23"/>
        <v>0</v>
      </c>
      <c r="BH40" s="7">
        <f t="shared" si="24"/>
        <v>0</v>
      </c>
    </row>
    <row r="41" spans="1:60" ht="15">
      <c r="A41" s="94" t="s">
        <v>100</v>
      </c>
      <c r="B41" s="104">
        <v>22000</v>
      </c>
      <c r="C41" s="104">
        <v>-1681.08507</v>
      </c>
      <c r="D41" s="104">
        <v>21356.5</v>
      </c>
      <c r="E41" s="105">
        <f t="shared" si="14"/>
        <v>1.0301313417460727</v>
      </c>
      <c r="F41" s="95">
        <f>IF(E41&lt;=1,1,0)</f>
        <v>0</v>
      </c>
      <c r="G41" s="55"/>
      <c r="H41" s="56">
        <f t="shared" si="0"/>
        <v>0</v>
      </c>
      <c r="I41" s="104">
        <v>22000</v>
      </c>
      <c r="J41" s="104">
        <v>255693.46982</v>
      </c>
      <c r="K41" s="58">
        <v>170873.29403999998</v>
      </c>
      <c r="L41" s="104">
        <v>30198.43048</v>
      </c>
      <c r="M41" s="104">
        <v>0</v>
      </c>
      <c r="N41" s="59">
        <f t="shared" si="25"/>
        <v>0.40276999351025844</v>
      </c>
      <c r="O41" s="54">
        <f>IF(N41&lt;=1,1,0)</f>
        <v>1</v>
      </c>
      <c r="P41" s="55"/>
      <c r="Q41" s="56">
        <f t="shared" si="2"/>
        <v>1</v>
      </c>
      <c r="R41" s="106">
        <v>1736.55955</v>
      </c>
      <c r="S41" s="104">
        <v>254012.38475</v>
      </c>
      <c r="T41" s="58">
        <v>80450.87408</v>
      </c>
      <c r="U41" s="53">
        <f t="shared" si="3"/>
        <v>0.010005441548050338</v>
      </c>
      <c r="V41" s="54">
        <f>IF(U41&lt;=0.15,1,0)</f>
        <v>1</v>
      </c>
      <c r="W41" s="55"/>
      <c r="X41" s="56">
        <f t="shared" si="15"/>
        <v>1</v>
      </c>
      <c r="Y41" s="104">
        <f t="shared" si="16"/>
        <v>-1681.08507</v>
      </c>
      <c r="Z41" s="63"/>
      <c r="AA41" s="63">
        <v>-2324.5850699999996</v>
      </c>
      <c r="AB41" s="63"/>
      <c r="AC41" s="63">
        <f t="shared" si="5"/>
        <v>255693.46982</v>
      </c>
      <c r="AD41" s="63">
        <f t="shared" si="5"/>
        <v>170873.29403999998</v>
      </c>
      <c r="AE41" s="63">
        <f t="shared" si="5"/>
        <v>30198.43048</v>
      </c>
      <c r="AF41" s="63">
        <f t="shared" si="17"/>
        <v>54621.745300000024</v>
      </c>
      <c r="AG41" s="63">
        <f>AF41*10%</f>
        <v>5462.174530000003</v>
      </c>
      <c r="AH41" s="63">
        <f t="shared" si="29"/>
        <v>5462.174530000003</v>
      </c>
      <c r="AI41" s="107">
        <f t="shared" si="8"/>
        <v>0</v>
      </c>
      <c r="AJ41" s="65">
        <f>IF(AI41&lt;=0.1,1.5,0)</f>
        <v>1.5</v>
      </c>
      <c r="AK41" s="55"/>
      <c r="AL41" s="56">
        <f t="shared" si="9"/>
        <v>1.5</v>
      </c>
      <c r="AM41" s="108">
        <v>8079.9</v>
      </c>
      <c r="AN41" s="55">
        <v>9458</v>
      </c>
      <c r="AO41" s="69">
        <f t="shared" si="10"/>
        <v>0.8542926622964686</v>
      </c>
      <c r="AP41" s="70">
        <f>IF(AO41&lt;=1,1,0)</f>
        <v>1</v>
      </c>
      <c r="AQ41" s="55"/>
      <c r="AR41" s="71">
        <f t="shared" si="18"/>
        <v>1</v>
      </c>
      <c r="AS41" s="108">
        <v>20604.3</v>
      </c>
      <c r="AT41" s="55">
        <v>22910</v>
      </c>
      <c r="AU41" s="69">
        <f t="shared" si="19"/>
        <v>0.8993583587952859</v>
      </c>
      <c r="AV41" s="70">
        <f>IF(AU41&lt;=1,1,0)</f>
        <v>1</v>
      </c>
      <c r="AW41" s="55"/>
      <c r="AX41" s="71">
        <f t="shared" si="11"/>
        <v>1</v>
      </c>
      <c r="AY41" s="109">
        <f t="shared" si="12"/>
        <v>5.5</v>
      </c>
      <c r="AZ41" s="110"/>
      <c r="BA41" s="74">
        <v>27677.721</v>
      </c>
      <c r="BC41" s="75">
        <f t="shared" si="13"/>
        <v>0.3302630347125672</v>
      </c>
      <c r="BD41" s="7">
        <f t="shared" si="20"/>
        <v>0</v>
      </c>
      <c r="BE41" s="76">
        <f t="shared" si="21"/>
        <v>0</v>
      </c>
      <c r="BF41" s="76">
        <f t="shared" si="22"/>
        <v>1</v>
      </c>
      <c r="BG41" s="76">
        <f t="shared" si="23"/>
        <v>0</v>
      </c>
      <c r="BH41" s="7">
        <f t="shared" si="24"/>
        <v>0</v>
      </c>
    </row>
    <row r="42" spans="1:60" ht="15.75" thickBot="1">
      <c r="A42" s="94" t="s">
        <v>101</v>
      </c>
      <c r="B42" s="104">
        <v>25472.775</v>
      </c>
      <c r="C42" s="104">
        <v>2408.72768</v>
      </c>
      <c r="D42" s="104">
        <v>21963.59</v>
      </c>
      <c r="E42" s="111">
        <f t="shared" si="14"/>
        <v>1.0451519356693368</v>
      </c>
      <c r="F42" s="54">
        <f>IF(E42&lt;=1,1,0)</f>
        <v>0</v>
      </c>
      <c r="G42" s="55"/>
      <c r="H42" s="56">
        <f t="shared" si="0"/>
        <v>0</v>
      </c>
      <c r="I42" s="104">
        <v>32472.775</v>
      </c>
      <c r="J42" s="104">
        <v>308477.34216</v>
      </c>
      <c r="K42" s="58">
        <v>199714.32854</v>
      </c>
      <c r="L42" s="104">
        <v>31606.33929</v>
      </c>
      <c r="M42" s="104">
        <v>0</v>
      </c>
      <c r="N42" s="53">
        <f>(I42-M42)/(J42-K42-L42)</f>
        <v>0.420867997253401</v>
      </c>
      <c r="O42" s="54">
        <f>IF(N42&lt;=1,1,0)</f>
        <v>1</v>
      </c>
      <c r="P42" s="55"/>
      <c r="Q42" s="56">
        <f t="shared" si="2"/>
        <v>1</v>
      </c>
      <c r="R42" s="112">
        <v>3173.9465299999997</v>
      </c>
      <c r="S42" s="104">
        <v>310886.06983999995</v>
      </c>
      <c r="T42" s="58">
        <v>124856.95547</v>
      </c>
      <c r="U42" s="53">
        <f t="shared" si="3"/>
        <v>0.017061558029498672</v>
      </c>
      <c r="V42" s="54">
        <f>IF(U42&lt;=0.15,1,0)</f>
        <v>1</v>
      </c>
      <c r="W42" s="55"/>
      <c r="X42" s="56">
        <f t="shared" si="15"/>
        <v>1</v>
      </c>
      <c r="Y42" s="104">
        <f t="shared" si="16"/>
        <v>2408.72768</v>
      </c>
      <c r="Z42" s="63"/>
      <c r="AA42" s="63">
        <v>-1100.45732</v>
      </c>
      <c r="AB42" s="63"/>
      <c r="AC42" s="63">
        <f t="shared" si="5"/>
        <v>308477.34216</v>
      </c>
      <c r="AD42" s="63">
        <f t="shared" si="5"/>
        <v>199714.32854</v>
      </c>
      <c r="AE42" s="63">
        <f t="shared" si="5"/>
        <v>31606.33929</v>
      </c>
      <c r="AF42" s="63">
        <f t="shared" si="17"/>
        <v>77156.67433000001</v>
      </c>
      <c r="AG42" s="63">
        <f>AF42*10%</f>
        <v>7715.667433000001</v>
      </c>
      <c r="AH42" s="63">
        <f t="shared" si="29"/>
        <v>7715.667433000001</v>
      </c>
      <c r="AI42" s="101">
        <f t="shared" si="8"/>
        <v>0.031218656077604424</v>
      </c>
      <c r="AJ42" s="65">
        <f>IF(AI42&lt;=0.1,1.5,0)</f>
        <v>1.5</v>
      </c>
      <c r="AK42" s="55"/>
      <c r="AL42" s="56">
        <f t="shared" si="9"/>
        <v>1.5</v>
      </c>
      <c r="AM42" s="108">
        <v>7978.5</v>
      </c>
      <c r="AN42" s="55">
        <v>9089</v>
      </c>
      <c r="AO42" s="69">
        <f t="shared" si="10"/>
        <v>0.877819342061833</v>
      </c>
      <c r="AP42" s="70">
        <f>IF(AO42&lt;=1,1,0)</f>
        <v>1</v>
      </c>
      <c r="AQ42" s="55"/>
      <c r="AR42" s="71">
        <f t="shared" si="18"/>
        <v>1</v>
      </c>
      <c r="AS42" s="108">
        <v>21422.7</v>
      </c>
      <c r="AT42" s="55">
        <v>21894</v>
      </c>
      <c r="AU42" s="69">
        <f t="shared" si="19"/>
        <v>0.9784735543984654</v>
      </c>
      <c r="AV42" s="70">
        <f>IF(AU42&lt;=1,1,0)</f>
        <v>1</v>
      </c>
      <c r="AW42" s="55"/>
      <c r="AX42" s="71">
        <f t="shared" si="11"/>
        <v>1</v>
      </c>
      <c r="AY42" s="97">
        <f t="shared" si="12"/>
        <v>5.5</v>
      </c>
      <c r="AZ42" s="98"/>
      <c r="BA42" s="74">
        <v>5782.711</v>
      </c>
      <c r="BC42" s="75">
        <f t="shared" si="13"/>
        <v>0.20362145491569325</v>
      </c>
      <c r="BD42" s="7">
        <f t="shared" si="20"/>
        <v>0</v>
      </c>
      <c r="BE42" s="76">
        <f t="shared" si="21"/>
        <v>0</v>
      </c>
      <c r="BF42" s="76">
        <f t="shared" si="22"/>
        <v>1</v>
      </c>
      <c r="BG42" s="76">
        <f t="shared" si="23"/>
        <v>0</v>
      </c>
      <c r="BH42" s="7">
        <f t="shared" si="24"/>
        <v>0</v>
      </c>
    </row>
    <row r="43" spans="1:60" ht="16.5" thickBot="1" thickTop="1">
      <c r="A43" s="113" t="s">
        <v>102</v>
      </c>
      <c r="B43" s="114">
        <f>SUM(B10:B42)</f>
        <v>2192614.275</v>
      </c>
      <c r="C43" s="114">
        <f>SUM(C10:C42)</f>
        <v>221212.93843000004</v>
      </c>
      <c r="D43" s="114">
        <f>SUM(D10:D42)</f>
        <v>2256113.59</v>
      </c>
      <c r="E43" s="115"/>
      <c r="F43" s="115"/>
      <c r="G43" s="115"/>
      <c r="H43" s="116"/>
      <c r="I43" s="117">
        <f>SUM(I10:I42)</f>
        <v>2512769.3536199997</v>
      </c>
      <c r="J43" s="117">
        <f>SUM(J10:J42)</f>
        <v>22120285.870130006</v>
      </c>
      <c r="K43" s="118">
        <f>SUM(K10:K42)</f>
        <v>15097441.51843</v>
      </c>
      <c r="L43" s="119">
        <f>SUM(L10:L42)</f>
        <v>2167352.9606500003</v>
      </c>
      <c r="M43" s="115">
        <f>SUM(M10:M42)</f>
        <v>0</v>
      </c>
      <c r="N43" s="115"/>
      <c r="O43" s="115"/>
      <c r="P43" s="115"/>
      <c r="Q43" s="116"/>
      <c r="R43" s="120">
        <f>SUM(R10:R42)</f>
        <v>213541.36258000002</v>
      </c>
      <c r="S43" s="121">
        <f>SUM(S10:S42)</f>
        <v>22341498.80856001</v>
      </c>
      <c r="T43" s="121">
        <f>SUM(T10:T42)</f>
        <v>8551999.112519996</v>
      </c>
      <c r="U43" s="115"/>
      <c r="V43" s="115"/>
      <c r="W43" s="115"/>
      <c r="X43" s="116"/>
      <c r="Y43" s="122">
        <f aca="true" t="shared" si="40" ref="Y43:AE43">SUM(Y10:Y42)</f>
        <v>221212.93843000004</v>
      </c>
      <c r="Z43" s="123">
        <f t="shared" si="40"/>
        <v>22448.15</v>
      </c>
      <c r="AA43" s="123">
        <f t="shared" si="40"/>
        <v>262264.1034300001</v>
      </c>
      <c r="AB43" s="123">
        <f t="shared" si="40"/>
        <v>0</v>
      </c>
      <c r="AC43" s="123">
        <f t="shared" si="40"/>
        <v>22120285.870130006</v>
      </c>
      <c r="AD43" s="123">
        <f t="shared" si="40"/>
        <v>15097441.51843</v>
      </c>
      <c r="AE43" s="123">
        <f t="shared" si="40"/>
        <v>2167352.9606500003</v>
      </c>
      <c r="AF43" s="122"/>
      <c r="AG43" s="122"/>
      <c r="AH43" s="122"/>
      <c r="AI43" s="115"/>
      <c r="AJ43" s="115"/>
      <c r="AK43" s="115"/>
      <c r="AL43" s="115"/>
      <c r="AM43" s="123">
        <f>SUM(AM10:AM42)</f>
        <v>650118.1000000002</v>
      </c>
      <c r="AN43" s="123">
        <f>SUM(AN10:AN42)</f>
        <v>694387</v>
      </c>
      <c r="AO43" s="115"/>
      <c r="AP43" s="115"/>
      <c r="AQ43" s="115"/>
      <c r="AR43" s="115"/>
      <c r="AS43" s="123">
        <f>SUM(AS10:AS42)</f>
        <v>1450976.4999999998</v>
      </c>
      <c r="AT43" s="123">
        <f>SUM(AT10:AT42)</f>
        <v>1527318</v>
      </c>
      <c r="AU43" s="115"/>
      <c r="AV43" s="115"/>
      <c r="AW43" s="115"/>
      <c r="AX43" s="115"/>
      <c r="AY43" s="124"/>
      <c r="AZ43" s="125"/>
      <c r="BA43" s="1"/>
      <c r="BC43" s="126"/>
      <c r="BD43" s="127">
        <f>SUM(BD10:BD42)</f>
        <v>0</v>
      </c>
      <c r="BE43" s="127">
        <f>SUM(BE10:BE42)</f>
        <v>1</v>
      </c>
      <c r="BF43" s="127">
        <f>SUM(BF10:BF42)</f>
        <v>24</v>
      </c>
      <c r="BG43" s="127">
        <f>SUM(BG10:BG42)</f>
        <v>8</v>
      </c>
      <c r="BH43" s="127">
        <f>SUM(BH10:BH42)</f>
        <v>0</v>
      </c>
    </row>
    <row r="44" spans="53:60" ht="15.75" thickTop="1">
      <c r="BA44" s="1"/>
      <c r="BC44" s="7" t="s">
        <v>103</v>
      </c>
      <c r="BD44" s="7">
        <f>BD10+BD12+BD13+BD14+BD41+BD42</f>
        <v>0</v>
      </c>
      <c r="BE44" s="7">
        <f>BE10+BE12+BE13+BE14+BE41+BE42</f>
        <v>1</v>
      </c>
      <c r="BF44" s="7">
        <f>BF10+BF12+BF13+BF14+BF41+BF42</f>
        <v>5</v>
      </c>
      <c r="BG44" s="7">
        <f>BG10+BG12+BG13+BG14+BG41+BG42</f>
        <v>0</v>
      </c>
      <c r="BH44" s="7">
        <f>BH10+BH12+BH13+BH14+BH41+BH42</f>
        <v>0</v>
      </c>
    </row>
    <row r="45" spans="12:60" ht="15" hidden="1">
      <c r="L45" s="9">
        <f>L10+L12+L13+L14+L41+L42</f>
        <v>470888.42014999996</v>
      </c>
      <c r="BC45" s="7" t="s">
        <v>104</v>
      </c>
      <c r="BD45" s="7">
        <f>BD43-BD44</f>
        <v>0</v>
      </c>
      <c r="BE45" s="7">
        <f>BE43-BE44</f>
        <v>0</v>
      </c>
      <c r="BF45" s="7">
        <f>BF43-BF44</f>
        <v>19</v>
      </c>
      <c r="BG45" s="7">
        <f>BG43-BG44</f>
        <v>8</v>
      </c>
      <c r="BH45" s="7">
        <f>BH43-BH44</f>
        <v>0</v>
      </c>
    </row>
    <row r="46" ht="15" hidden="1">
      <c r="L46" s="128">
        <f>L43-L45</f>
        <v>1696464.5405000004</v>
      </c>
    </row>
    <row r="47" ht="15">
      <c r="C47">
        <v>-1</v>
      </c>
    </row>
    <row r="50" ht="15">
      <c r="G50" s="129">
        <v>15298573689.16</v>
      </c>
    </row>
    <row r="51" spans="5:7" ht="15">
      <c r="E51">
        <f>85.91*31000</f>
        <v>2663210</v>
      </c>
      <c r="G51">
        <v>19796680.53</v>
      </c>
    </row>
    <row r="52" ht="15">
      <c r="G52" s="129">
        <f>G50-G51</f>
        <v>15278777008.63</v>
      </c>
    </row>
  </sheetData>
  <sheetProtection/>
  <mergeCells count="14">
    <mergeCell ref="B1:H3"/>
    <mergeCell ref="A4:A7"/>
    <mergeCell ref="B4:H4"/>
    <mergeCell ref="I4:Q4"/>
    <mergeCell ref="R4:X4"/>
    <mergeCell ref="Y4:AL4"/>
    <mergeCell ref="AM4:AR4"/>
    <mergeCell ref="AS4:AX4"/>
    <mergeCell ref="B5:D5"/>
    <mergeCell ref="I5:K5"/>
    <mergeCell ref="R5:T5"/>
    <mergeCell ref="Y5:AA5"/>
    <mergeCell ref="AM5:AN5"/>
    <mergeCell ref="AS5:AT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Н.В.</dc:creator>
  <cp:keywords/>
  <dc:description/>
  <cp:lastModifiedBy>Хохлова Н.В.</cp:lastModifiedBy>
  <dcterms:created xsi:type="dcterms:W3CDTF">2019-02-08T08:27:34Z</dcterms:created>
  <dcterms:modified xsi:type="dcterms:W3CDTF">2019-02-08T09:07:57Z</dcterms:modified>
  <cp:category/>
  <cp:version/>
  <cp:contentType/>
  <cp:contentStatus/>
</cp:coreProperties>
</file>