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875" activeTab="0"/>
  </bookViews>
  <sheets>
    <sheet name="за 4 кв" sheetId="1" r:id="rId1"/>
  </sheets>
  <externalReferences>
    <externalReference r:id="rId4"/>
  </externalReferences>
  <definedNames>
    <definedName name="_xlfn.BAHTTEXT" hidden="1">#NAME?</definedName>
    <definedName name="_xlnm.Print_Titles" localSheetId="0">'за 4 кв'!$A:$A</definedName>
    <definedName name="_xlnm.Print_Area" localSheetId="0">'за 4 кв'!$A$1:$AY$43</definedName>
  </definedNames>
  <calcPr fullCalcOnLoad="1"/>
</workbook>
</file>

<file path=xl/sharedStrings.xml><?xml version="1.0" encoding="utf-8"?>
<sst xmlns="http://schemas.openxmlformats.org/spreadsheetml/2006/main" count="136" uniqueCount="97">
  <si>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01.01.2017</t>
  </si>
  <si>
    <t>тыс.руб.</t>
  </si>
  <si>
    <t>P1</t>
  </si>
  <si>
    <t>P2</t>
  </si>
  <si>
    <t>P3</t>
  </si>
  <si>
    <t>P4</t>
  </si>
  <si>
    <t>P5</t>
  </si>
  <si>
    <t>P5.2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</si>
  <si>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</si>
  <si>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</si>
  <si>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</si>
  <si>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</si>
  <si>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</si>
  <si>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</si>
  <si>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</si>
  <si>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</si>
  <si>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</si>
  <si>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</si>
  <si>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</si>
  <si>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</si>
  <si>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</si>
  <si>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</si>
  <si>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</si>
  <si>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</si>
  <si>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</si>
  <si>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</si>
  <si>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</si>
  <si>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</si>
  <si>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</si>
  <si>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</si>
  <si>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</si>
  <si>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</si>
  <si>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</si>
  <si>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</si>
  <si>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</si>
  <si>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</si>
  <si>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</si>
  <si>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</si>
  <si>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</si>
  <si>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</si>
  <si>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</si>
  <si>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</si>
  <si>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</si>
  <si>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</si>
  <si>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</si>
  <si>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</si>
  <si>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</si>
  <si>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</si>
  <si>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</si>
  <si>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</si>
  <si>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</si>
  <si>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</si>
  <si>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</si>
  <si>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</si>
  <si>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</si>
  <si>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</si>
  <si>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</si>
  <si>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</si>
  <si>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</si>
  <si>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</si>
  <si>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</si>
  <si>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факт</t>
  </si>
  <si>
    <t>если -, то 0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</si>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</sst>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#,##0_ ;[Red]\-#,##0\ "/>
    <numFmt numFmtId="170" formatCode="0.000"/>
    <numFmt numFmtId="171" formatCode="0.0000"/>
    <numFmt numFmtId="172" formatCode="0.0_ ;[Red]\-0.0\ "/>
    <numFmt numFmtId="173" formatCode="0.0"/>
    <numFmt numFmtId="174" formatCode="0.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8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43" fontId="19" fillId="0" borderId="0" xfId="60" applyFont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43" fontId="19" fillId="0" borderId="10" xfId="60" applyFont="1" applyBorder="1" applyAlignment="1">
      <alignment horizontal="center" wrapText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34" borderId="0" xfId="0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2" fillId="38" borderId="19" xfId="0" applyFont="1" applyFill="1" applyBorder="1" applyAlignment="1">
      <alignment horizontal="center"/>
    </xf>
    <xf numFmtId="0" fontId="22" fillId="38" borderId="20" xfId="0" applyFont="1" applyFill="1" applyBorder="1" applyAlignment="1">
      <alignment/>
    </xf>
    <xf numFmtId="0" fontId="22" fillId="38" borderId="21" xfId="0" applyFont="1" applyFill="1" applyBorder="1" applyAlignment="1">
      <alignment/>
    </xf>
    <xf numFmtId="0" fontId="22" fillId="38" borderId="22" xfId="0" applyFont="1" applyFill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2" fillId="38" borderId="24" xfId="0" applyFont="1" applyFill="1" applyBorder="1" applyAlignment="1">
      <alignment/>
    </xf>
    <xf numFmtId="0" fontId="0" fillId="37" borderId="25" xfId="0" applyFill="1" applyBorder="1" applyAlignment="1">
      <alignment/>
    </xf>
    <xf numFmtId="0" fontId="18" fillId="39" borderId="26" xfId="0" applyFont="1" applyFill="1" applyBorder="1" applyAlignment="1">
      <alignment horizontal="center" vertical="center" wrapText="1"/>
    </xf>
    <xf numFmtId="0" fontId="22" fillId="40" borderId="26" xfId="0" applyFont="1" applyFill="1" applyBorder="1" applyAlignment="1">
      <alignment horizontal="center" vertical="center" wrapText="1"/>
    </xf>
    <xf numFmtId="0" fontId="22" fillId="40" borderId="27" xfId="0" applyFont="1" applyFill="1" applyBorder="1" applyAlignment="1">
      <alignment horizontal="center" vertical="center" wrapText="1"/>
    </xf>
    <xf numFmtId="0" fontId="25" fillId="39" borderId="26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8" fillId="41" borderId="26" xfId="0" applyFont="1" applyFill="1" applyBorder="1" applyAlignment="1">
      <alignment horizontal="center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2" fillId="39" borderId="31" xfId="0" applyFont="1" applyFill="1" applyBorder="1" applyAlignment="1">
      <alignment horizontal="center" vertical="center" wrapText="1"/>
    </xf>
    <xf numFmtId="0" fontId="22" fillId="39" borderId="3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37" borderId="31" xfId="0" applyFont="1" applyFill="1" applyBorder="1" applyAlignment="1">
      <alignment horizontal="center" vertical="center" wrapText="1"/>
    </xf>
    <xf numFmtId="0" fontId="22" fillId="42" borderId="31" xfId="0" applyFont="1" applyFill="1" applyBorder="1" applyAlignment="1">
      <alignment horizontal="center" vertical="center" wrapText="1"/>
    </xf>
    <xf numFmtId="0" fontId="22" fillId="39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165" fontId="0" fillId="41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27" fillId="43" borderId="36" xfId="0" applyFont="1" applyFill="1" applyBorder="1" applyAlignment="1">
      <alignment horizontal="center"/>
    </xf>
    <xf numFmtId="0" fontId="27" fillId="43" borderId="31" xfId="0" applyFont="1" applyFill="1" applyBorder="1" applyAlignment="1">
      <alignment horizontal="center"/>
    </xf>
    <xf numFmtId="0" fontId="27" fillId="43" borderId="32" xfId="0" applyFont="1" applyFill="1" applyBorder="1" applyAlignment="1">
      <alignment horizontal="center"/>
    </xf>
    <xf numFmtId="0" fontId="27" fillId="43" borderId="37" xfId="0" applyFont="1" applyFill="1" applyBorder="1" applyAlignment="1">
      <alignment horizontal="center"/>
    </xf>
    <xf numFmtId="0" fontId="27" fillId="43" borderId="38" xfId="0" applyFont="1" applyFill="1" applyBorder="1" applyAlignment="1">
      <alignment horizontal="center"/>
    </xf>
    <xf numFmtId="0" fontId="22" fillId="43" borderId="31" xfId="0" applyFont="1" applyFill="1" applyBorder="1" applyAlignment="1">
      <alignment horizontal="center"/>
    </xf>
    <xf numFmtId="0" fontId="27" fillId="43" borderId="33" xfId="0" applyFont="1" applyFill="1" applyBorder="1" applyAlignment="1">
      <alignment horizontal="center"/>
    </xf>
    <xf numFmtId="0" fontId="18" fillId="0" borderId="39" xfId="0" applyFont="1" applyBorder="1" applyAlignment="1">
      <alignment/>
    </xf>
    <xf numFmtId="165" fontId="18" fillId="0" borderId="40" xfId="60" applyNumberFormat="1" applyFont="1" applyFill="1" applyBorder="1" applyAlignment="1">
      <alignment/>
    </xf>
    <xf numFmtId="164" fontId="22" fillId="0" borderId="40" xfId="60" applyNumberFormat="1" applyFont="1" applyBorder="1" applyAlignment="1">
      <alignment/>
    </xf>
    <xf numFmtId="166" fontId="18" fillId="0" borderId="41" xfId="60" applyNumberFormat="1" applyFont="1" applyBorder="1" applyAlignment="1">
      <alignment/>
    </xf>
    <xf numFmtId="166" fontId="18" fillId="0" borderId="19" xfId="60" applyNumberFormat="1" applyFont="1" applyBorder="1" applyAlignment="1">
      <alignment/>
    </xf>
    <xf numFmtId="167" fontId="22" fillId="0" borderId="42" xfId="60" applyNumberFormat="1" applyFont="1" applyBorder="1" applyAlignment="1">
      <alignment/>
    </xf>
    <xf numFmtId="165" fontId="18" fillId="33" borderId="40" xfId="60" applyNumberFormat="1" applyFont="1" applyFill="1" applyBorder="1" applyAlignment="1">
      <alignment/>
    </xf>
    <xf numFmtId="164" fontId="18" fillId="0" borderId="40" xfId="60" applyNumberFormat="1" applyFont="1" applyFill="1" applyBorder="1" applyAlignment="1">
      <alignment/>
    </xf>
    <xf numFmtId="4" fontId="18" fillId="0" borderId="41" xfId="60" applyNumberFormat="1" applyFont="1" applyFill="1" applyBorder="1" applyAlignment="1">
      <alignment/>
    </xf>
    <xf numFmtId="164" fontId="22" fillId="0" borderId="40" xfId="60" applyNumberFormat="1" applyFont="1" applyFill="1" applyBorder="1" applyAlignment="1">
      <alignment/>
    </xf>
    <xf numFmtId="165" fontId="18" fillId="0" borderId="43" xfId="60" applyNumberFormat="1" applyFont="1" applyFill="1" applyBorder="1" applyAlignment="1">
      <alignment/>
    </xf>
    <xf numFmtId="168" fontId="18" fillId="0" borderId="41" xfId="60" applyNumberFormat="1" applyFont="1" applyFill="1" applyBorder="1" applyAlignment="1">
      <alignment/>
    </xf>
    <xf numFmtId="169" fontId="18" fillId="0" borderId="19" xfId="60" applyNumberFormat="1" applyFont="1" applyFill="1" applyBorder="1" applyAlignment="1">
      <alignment/>
    </xf>
    <xf numFmtId="165" fontId="18" fillId="0" borderId="19" xfId="60" applyNumberFormat="1" applyFont="1" applyFill="1" applyBorder="1" applyAlignment="1">
      <alignment/>
    </xf>
    <xf numFmtId="165" fontId="18" fillId="0" borderId="19" xfId="60" applyNumberFormat="1" applyFont="1" applyBorder="1" applyAlignment="1">
      <alignment/>
    </xf>
    <xf numFmtId="170" fontId="22" fillId="0" borderId="19" xfId="60" applyNumberFormat="1" applyFont="1" applyBorder="1" applyAlignment="1">
      <alignment/>
    </xf>
    <xf numFmtId="167" fontId="18" fillId="0" borderId="41" xfId="60" applyNumberFormat="1" applyFont="1" applyFill="1" applyBorder="1" applyAlignment="1">
      <alignment/>
    </xf>
    <xf numFmtId="166" fontId="18" fillId="0" borderId="19" xfId="60" applyNumberFormat="1" applyFont="1" applyFill="1" applyBorder="1" applyAlignment="1">
      <alignment/>
    </xf>
    <xf numFmtId="167" fontId="22" fillId="0" borderId="42" xfId="60" applyNumberFormat="1" applyFont="1" applyFill="1" applyBorder="1" applyAlignment="1">
      <alignment/>
    </xf>
    <xf numFmtId="166" fontId="18" fillId="0" borderId="44" xfId="60" applyNumberFormat="1" applyFont="1" applyFill="1" applyBorder="1" applyAlignment="1">
      <alignment/>
    </xf>
    <xf numFmtId="171" fontId="22" fillId="0" borderId="19" xfId="60" applyNumberFormat="1" applyFont="1" applyBorder="1" applyAlignment="1">
      <alignment/>
    </xf>
    <xf numFmtId="167" fontId="18" fillId="0" borderId="41" xfId="60" applyNumberFormat="1" applyFont="1" applyBorder="1" applyAlignment="1">
      <alignment/>
    </xf>
    <xf numFmtId="172" fontId="22" fillId="0" borderId="19" xfId="60" applyNumberFormat="1" applyFont="1" applyBorder="1" applyAlignment="1">
      <alignment/>
    </xf>
    <xf numFmtId="167" fontId="22" fillId="0" borderId="45" xfId="60" applyNumberFormat="1" applyFont="1" applyBorder="1" applyAlignment="1">
      <alignment/>
    </xf>
    <xf numFmtId="0" fontId="18" fillId="44" borderId="46" xfId="0" applyFont="1" applyFill="1" applyBorder="1" applyAlignment="1">
      <alignment/>
    </xf>
    <xf numFmtId="165" fontId="18" fillId="44" borderId="40" xfId="60" applyNumberFormat="1" applyFont="1" applyFill="1" applyBorder="1" applyAlignment="1">
      <alignment/>
    </xf>
    <xf numFmtId="164" fontId="22" fillId="44" borderId="40" xfId="60" applyNumberFormat="1" applyFont="1" applyFill="1" applyBorder="1" applyAlignment="1">
      <alignment/>
    </xf>
    <xf numFmtId="166" fontId="18" fillId="44" borderId="41" xfId="60" applyNumberFormat="1" applyFont="1" applyFill="1" applyBorder="1" applyAlignment="1">
      <alignment/>
    </xf>
    <xf numFmtId="166" fontId="18" fillId="44" borderId="19" xfId="60" applyNumberFormat="1" applyFont="1" applyFill="1" applyBorder="1" applyAlignment="1">
      <alignment/>
    </xf>
    <xf numFmtId="167" fontId="22" fillId="44" borderId="42" xfId="60" applyNumberFormat="1" applyFont="1" applyFill="1" applyBorder="1" applyAlignment="1">
      <alignment/>
    </xf>
    <xf numFmtId="164" fontId="18" fillId="44" borderId="40" xfId="60" applyNumberFormat="1" applyFont="1" applyFill="1" applyBorder="1" applyAlignment="1">
      <alignment/>
    </xf>
    <xf numFmtId="4" fontId="18" fillId="44" borderId="41" xfId="60" applyNumberFormat="1" applyFont="1" applyFill="1" applyBorder="1" applyAlignment="1">
      <alignment/>
    </xf>
    <xf numFmtId="165" fontId="18" fillId="44" borderId="44" xfId="60" applyNumberFormat="1" applyFont="1" applyFill="1" applyBorder="1" applyAlignment="1">
      <alignment/>
    </xf>
    <xf numFmtId="168" fontId="18" fillId="44" borderId="41" xfId="60" applyNumberFormat="1" applyFont="1" applyFill="1" applyBorder="1" applyAlignment="1">
      <alignment/>
    </xf>
    <xf numFmtId="165" fontId="18" fillId="44" borderId="19" xfId="60" applyNumberFormat="1" applyFont="1" applyFill="1" applyBorder="1" applyAlignment="1">
      <alignment/>
    </xf>
    <xf numFmtId="170" fontId="22" fillId="44" borderId="19" xfId="60" applyNumberFormat="1" applyFont="1" applyFill="1" applyBorder="1" applyAlignment="1">
      <alignment/>
    </xf>
    <xf numFmtId="167" fontId="18" fillId="44" borderId="41" xfId="60" applyNumberFormat="1" applyFont="1" applyFill="1" applyBorder="1" applyAlignment="1">
      <alignment/>
    </xf>
    <xf numFmtId="167" fontId="18" fillId="44" borderId="19" xfId="60" applyNumberFormat="1" applyFont="1" applyFill="1" applyBorder="1" applyAlignment="1">
      <alignment/>
    </xf>
    <xf numFmtId="166" fontId="18" fillId="44" borderId="44" xfId="60" applyNumberFormat="1" applyFont="1" applyFill="1" applyBorder="1" applyAlignment="1">
      <alignment/>
    </xf>
    <xf numFmtId="171" fontId="22" fillId="44" borderId="19" xfId="60" applyNumberFormat="1" applyFont="1" applyFill="1" applyBorder="1" applyAlignment="1">
      <alignment/>
    </xf>
    <xf numFmtId="172" fontId="22" fillId="44" borderId="19" xfId="60" applyNumberFormat="1" applyFont="1" applyFill="1" applyBorder="1" applyAlignment="1">
      <alignment/>
    </xf>
    <xf numFmtId="167" fontId="22" fillId="44" borderId="45" xfId="6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166" fontId="18" fillId="0" borderId="41" xfId="60" applyNumberFormat="1" applyFont="1" applyFill="1" applyBorder="1" applyAlignment="1">
      <alignment/>
    </xf>
    <xf numFmtId="165" fontId="18" fillId="0" borderId="44" xfId="60" applyNumberFormat="1" applyFont="1" applyFill="1" applyBorder="1" applyAlignment="1">
      <alignment/>
    </xf>
    <xf numFmtId="167" fontId="22" fillId="0" borderId="45" xfId="60" applyNumberFormat="1" applyFont="1" applyFill="1" applyBorder="1" applyAlignment="1">
      <alignment/>
    </xf>
    <xf numFmtId="171" fontId="22" fillId="0" borderId="19" xfId="60" applyNumberFormat="1" applyFont="1" applyFill="1" applyBorder="1" applyAlignment="1">
      <alignment/>
    </xf>
    <xf numFmtId="170" fontId="22" fillId="0" borderId="19" xfId="60" applyNumberFormat="1" applyFont="1" applyFill="1" applyBorder="1" applyAlignment="1">
      <alignment/>
    </xf>
    <xf numFmtId="0" fontId="18" fillId="0" borderId="46" xfId="0" applyFont="1" applyFill="1" applyBorder="1" applyAlignment="1">
      <alignment/>
    </xf>
    <xf numFmtId="167" fontId="18" fillId="0" borderId="19" xfId="60" applyNumberFormat="1" applyFont="1" applyFill="1" applyBorder="1" applyAlignment="1">
      <alignment/>
    </xf>
    <xf numFmtId="172" fontId="22" fillId="0" borderId="19" xfId="60" applyNumberFormat="1" applyFont="1" applyFill="1" applyBorder="1" applyAlignment="1">
      <alignment/>
    </xf>
    <xf numFmtId="165" fontId="18" fillId="0" borderId="40" xfId="60" applyNumberFormat="1" applyFont="1" applyBorder="1" applyAlignment="1">
      <alignment/>
    </xf>
    <xf numFmtId="164" fontId="18" fillId="0" borderId="40" xfId="60" applyNumberFormat="1" applyFont="1" applyBorder="1" applyAlignment="1">
      <alignment/>
    </xf>
    <xf numFmtId="165" fontId="18" fillId="0" borderId="44" xfId="60" applyNumberFormat="1" applyFont="1" applyBorder="1" applyAlignment="1">
      <alignment/>
    </xf>
    <xf numFmtId="170" fontId="22" fillId="33" borderId="19" xfId="60" applyNumberFormat="1" applyFont="1" applyFill="1" applyBorder="1" applyAlignment="1">
      <alignment/>
    </xf>
    <xf numFmtId="166" fontId="18" fillId="0" borderId="44" xfId="60" applyNumberFormat="1" applyFont="1" applyBorder="1" applyAlignment="1">
      <alignment/>
    </xf>
    <xf numFmtId="167" fontId="22" fillId="33" borderId="45" xfId="60" applyNumberFormat="1" applyFont="1" applyFill="1" applyBorder="1" applyAlignment="1">
      <alignment/>
    </xf>
    <xf numFmtId="165" fontId="18" fillId="0" borderId="47" xfId="60" applyNumberFormat="1" applyFont="1" applyBorder="1" applyAlignment="1">
      <alignment/>
    </xf>
    <xf numFmtId="0" fontId="22" fillId="43" borderId="48" xfId="0" applyFont="1" applyFill="1" applyBorder="1" applyAlignment="1" applyProtection="1">
      <alignment/>
      <protection/>
    </xf>
    <xf numFmtId="166" fontId="22" fillId="43" borderId="49" xfId="60" applyNumberFormat="1" applyFont="1" applyFill="1" applyBorder="1" applyAlignment="1">
      <alignment horizontal="center"/>
    </xf>
    <xf numFmtId="166" fontId="22" fillId="43" borderId="50" xfId="60" applyNumberFormat="1" applyFont="1" applyFill="1" applyBorder="1" applyAlignment="1">
      <alignment horizontal="center"/>
    </xf>
    <xf numFmtId="166" fontId="22" fillId="43" borderId="51" xfId="60" applyNumberFormat="1" applyFont="1" applyFill="1" applyBorder="1" applyAlignment="1">
      <alignment horizontal="center"/>
    </xf>
    <xf numFmtId="167" fontId="22" fillId="43" borderId="52" xfId="60" applyNumberFormat="1" applyFont="1" applyFill="1" applyBorder="1" applyAlignment="1">
      <alignment horizontal="center"/>
    </xf>
    <xf numFmtId="166" fontId="22" fillId="43" borderId="53" xfId="60" applyNumberFormat="1" applyFont="1" applyFill="1" applyBorder="1" applyAlignment="1">
      <alignment horizontal="center"/>
    </xf>
    <xf numFmtId="166" fontId="22" fillId="43" borderId="52" xfId="60" applyNumberFormat="1" applyFont="1" applyFill="1" applyBorder="1" applyAlignment="1">
      <alignment horizontal="center"/>
    </xf>
    <xf numFmtId="166" fontId="22" fillId="43" borderId="54" xfId="6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terbudget\&#1052;&#1086;&#1085;&#1103;%20&#1052;&#1054;%20&#1076;&#1083;&#1103;%20&#1086;&#1094;&#1077;&#1085;&#1082;&#1080;%20&#1082;&#1072;&#1095;&#1077;&#1089;&#1090;&#1074;&#1072;\2016\&#1084;&#1086;&#1085;&#1080;&#1090;&#1086;&#1088;&#1080;&#1085;&#1075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годовой (оконч)"/>
      <sheetName val="за 1 кв."/>
      <sheetName val="за 1 кв. (2)"/>
      <sheetName val="за 2 кв."/>
      <sheetName val="за 3 кв. нов"/>
      <sheetName val="за 4 кв. (Р1 пл, ост ф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5"/>
  <sheetViews>
    <sheetView tabSelected="1" zoomScale="70" zoomScaleNormal="70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E14" sqref="BE14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2.875" style="0" customWidth="1"/>
    <col min="14" max="14" width="19.625" style="0" customWidth="1"/>
    <col min="15" max="15" width="22.25390625" style="0" customWidth="1"/>
    <col min="16" max="16" width="17.125" style="0" customWidth="1"/>
    <col min="17" max="17" width="19.625" style="0" customWidth="1"/>
    <col min="18" max="18" width="21.625" style="0" customWidth="1"/>
    <col min="19" max="19" width="28.00390625" style="0" customWidth="1"/>
    <col min="20" max="20" width="24.25390625" style="0" customWidth="1"/>
    <col min="21" max="21" width="29.75390625" style="0" customWidth="1"/>
    <col min="22" max="22" width="18.00390625" style="0" customWidth="1"/>
    <col min="23" max="23" width="23.75390625" style="0" customWidth="1"/>
    <col min="24" max="24" width="14.00390625" style="0" customWidth="1"/>
    <col min="25" max="25" width="15.375" style="0" customWidth="1"/>
    <col min="26" max="26" width="15.125" style="0" customWidth="1"/>
    <col min="27" max="27" width="13.75390625" style="0" customWidth="1"/>
    <col min="28" max="28" width="20.75390625" style="0" customWidth="1"/>
    <col min="29" max="29" width="12.875" style="0" customWidth="1"/>
    <col min="30" max="30" width="13.25390625" style="0" customWidth="1"/>
    <col min="31" max="31" width="13.00390625" style="0" customWidth="1"/>
    <col min="32" max="32" width="15.25390625" style="0" hidden="1" customWidth="1"/>
    <col min="33" max="33" width="20.25390625" style="0" hidden="1" customWidth="1"/>
    <col min="34" max="34" width="36.625" style="0" hidden="1" customWidth="1"/>
    <col min="35" max="35" width="25.375" style="0" customWidth="1"/>
    <col min="36" max="36" width="10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6.0039062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27.25390625" style="0" customWidth="1"/>
    <col min="46" max="46" width="24.375" style="0" customWidth="1"/>
    <col min="47" max="47" width="27.25390625" style="0" customWidth="1"/>
    <col min="48" max="48" width="16.875" style="0" customWidth="1"/>
    <col min="49" max="49" width="21.125" style="0" customWidth="1"/>
    <col min="50" max="50" width="14.75390625" style="0" customWidth="1"/>
    <col min="51" max="51" width="13.875" style="0" customWidth="1"/>
    <col min="52" max="16384" width="9.125" style="7" customWidth="1"/>
  </cols>
  <sheetData>
    <row r="1" spans="1:51" s="6" customFormat="1" ht="16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1"/>
      <c r="O1" s="1"/>
      <c r="P1" s="1"/>
      <c r="Q1" s="1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5"/>
      <c r="AO1" s="5"/>
      <c r="AP1" s="5"/>
      <c r="AQ1" s="4"/>
      <c r="AR1" s="1"/>
      <c r="AS1" s="4"/>
      <c r="AT1" s="4"/>
      <c r="AU1" s="5"/>
      <c r="AV1" s="5"/>
      <c r="AW1" s="4"/>
      <c r="AX1" s="1"/>
      <c r="AY1" s="1"/>
    </row>
    <row r="2" spans="2:8" ht="12.75" customHeight="1" hidden="1">
      <c r="B2" s="2"/>
      <c r="C2" s="2"/>
      <c r="D2" s="2"/>
      <c r="E2" s="2"/>
      <c r="F2" s="2"/>
      <c r="G2" s="2"/>
      <c r="H2" s="2"/>
    </row>
    <row r="3" spans="2:41" ht="13.5" thickBot="1">
      <c r="B3" s="8"/>
      <c r="C3" s="8"/>
      <c r="D3" s="8"/>
      <c r="E3" s="8"/>
      <c r="F3" s="8"/>
      <c r="G3" s="8"/>
      <c r="H3" s="8"/>
      <c r="I3" s="9"/>
      <c r="K3" s="10"/>
      <c r="L3" s="9"/>
      <c r="M3" s="9"/>
      <c r="T3" s="9"/>
      <c r="Y3" s="11"/>
      <c r="AE3" s="9"/>
      <c r="AM3" s="9"/>
      <c r="AN3" s="9"/>
      <c r="AO3" s="9"/>
    </row>
    <row r="4" spans="1:51" ht="13.5" thickTop="1">
      <c r="A4" s="12" t="s">
        <v>1</v>
      </c>
      <c r="B4" s="13"/>
      <c r="C4" s="14"/>
      <c r="D4" s="14"/>
      <c r="E4" s="14"/>
      <c r="F4" s="14"/>
      <c r="G4" s="14"/>
      <c r="H4" s="15"/>
      <c r="I4" s="16"/>
      <c r="J4" s="17"/>
      <c r="K4" s="17"/>
      <c r="L4" s="17"/>
      <c r="M4" s="17"/>
      <c r="N4" s="17"/>
      <c r="O4" s="17"/>
      <c r="P4" s="17"/>
      <c r="Q4" s="18"/>
      <c r="R4" s="16"/>
      <c r="S4" s="17"/>
      <c r="T4" s="17"/>
      <c r="U4" s="17"/>
      <c r="V4" s="17"/>
      <c r="W4" s="17"/>
      <c r="X4" s="18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9"/>
      <c r="AM4" s="16"/>
      <c r="AN4" s="17"/>
      <c r="AO4" s="17"/>
      <c r="AP4" s="17"/>
      <c r="AQ4" s="17"/>
      <c r="AR4" s="19"/>
      <c r="AS4" s="16"/>
      <c r="AT4" s="17"/>
      <c r="AU4" s="17"/>
      <c r="AV4" s="17"/>
      <c r="AW4" s="17"/>
      <c r="AX4" s="19"/>
      <c r="AY4" s="20"/>
    </row>
    <row r="5" spans="1:51" ht="13.5" thickBot="1">
      <c r="A5" s="21"/>
      <c r="B5" s="22"/>
      <c r="C5" s="23"/>
      <c r="D5" s="23"/>
      <c r="E5" s="24" t="s">
        <v>2</v>
      </c>
      <c r="F5" s="25"/>
      <c r="G5" s="26"/>
      <c r="H5" s="27"/>
      <c r="I5" s="28"/>
      <c r="J5" s="23"/>
      <c r="K5" s="23"/>
      <c r="L5" s="29"/>
      <c r="M5" s="29"/>
      <c r="N5" s="24" t="s">
        <v>3</v>
      </c>
      <c r="O5" s="25"/>
      <c r="P5" s="26"/>
      <c r="Q5" s="27"/>
      <c r="R5" s="28"/>
      <c r="S5" s="23"/>
      <c r="T5" s="23"/>
      <c r="U5" s="24" t="s">
        <v>4</v>
      </c>
      <c r="V5" s="25"/>
      <c r="W5" s="26"/>
      <c r="X5" s="27"/>
      <c r="Y5" s="30"/>
      <c r="Z5" s="23"/>
      <c r="AA5" s="23"/>
      <c r="AB5" s="29"/>
      <c r="AC5" s="29"/>
      <c r="AD5" s="29"/>
      <c r="AE5" s="29"/>
      <c r="AF5" s="29"/>
      <c r="AG5" s="29"/>
      <c r="AH5" s="29"/>
      <c r="AI5" s="24" t="s">
        <v>5</v>
      </c>
      <c r="AJ5" s="25"/>
      <c r="AK5" s="26"/>
      <c r="AL5" s="31"/>
      <c r="AM5" s="28"/>
      <c r="AN5" s="23"/>
      <c r="AO5" s="24" t="s">
        <v>6</v>
      </c>
      <c r="AP5" s="25"/>
      <c r="AQ5" s="26"/>
      <c r="AR5" s="31"/>
      <c r="AS5" s="28"/>
      <c r="AT5" s="23"/>
      <c r="AU5" s="24" t="s">
        <v>7</v>
      </c>
      <c r="AV5" s="25"/>
      <c r="AW5" s="26"/>
      <c r="AX5" s="31"/>
      <c r="AY5" s="32"/>
    </row>
    <row r="6" spans="1:51" ht="159.75" customHeight="1" thickBot="1">
      <c r="A6" s="21"/>
      <c r="B6" s="33" t="s">
        <v>8</v>
      </c>
      <c r="C6" s="33" t="s">
        <v>9</v>
      </c>
      <c r="D6" s="33" t="s">
        <v>10</v>
      </c>
      <c r="E6" s="33" t="s">
        <v>11</v>
      </c>
      <c r="F6" s="34" t="s">
        <v>12</v>
      </c>
      <c r="G6" s="34" t="s">
        <v>13</v>
      </c>
      <c r="H6" s="35" t="s">
        <v>14</v>
      </c>
      <c r="I6" s="33" t="s">
        <v>15</v>
      </c>
      <c r="J6" s="33" t="s">
        <v>16</v>
      </c>
      <c r="K6" s="33" t="s">
        <v>17</v>
      </c>
      <c r="L6" s="33" t="s">
        <v>18</v>
      </c>
      <c r="M6" s="33" t="s">
        <v>19</v>
      </c>
      <c r="N6" s="33" t="s">
        <v>20</v>
      </c>
      <c r="O6" s="34" t="s">
        <v>12</v>
      </c>
      <c r="P6" s="34" t="s">
        <v>13</v>
      </c>
      <c r="Q6" s="35" t="s">
        <v>14</v>
      </c>
      <c r="R6" s="33" t="s">
        <v>21</v>
      </c>
      <c r="S6" s="33" t="s">
        <v>22</v>
      </c>
      <c r="T6" s="33" t="s">
        <v>23</v>
      </c>
      <c r="U6" s="33" t="s">
        <v>24</v>
      </c>
      <c r="V6" s="34" t="s">
        <v>12</v>
      </c>
      <c r="W6" s="34" t="s">
        <v>13</v>
      </c>
      <c r="X6" s="35" t="s">
        <v>14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3" t="s">
        <v>31</v>
      </c>
      <c r="AF6" s="36" t="s">
        <v>32</v>
      </c>
      <c r="AG6" s="36" t="s">
        <v>33</v>
      </c>
      <c r="AH6" s="36" t="s">
        <v>34</v>
      </c>
      <c r="AI6" s="33" t="s">
        <v>35</v>
      </c>
      <c r="AJ6" s="34" t="s">
        <v>12</v>
      </c>
      <c r="AK6" s="34" t="s">
        <v>13</v>
      </c>
      <c r="AL6" s="34" t="s">
        <v>14</v>
      </c>
      <c r="AM6" s="37" t="s">
        <v>36</v>
      </c>
      <c r="AN6" s="33" t="s">
        <v>37</v>
      </c>
      <c r="AO6" s="33" t="s">
        <v>38</v>
      </c>
      <c r="AP6" s="34" t="s">
        <v>12</v>
      </c>
      <c r="AQ6" s="34" t="s">
        <v>13</v>
      </c>
      <c r="AR6" s="34" t="s">
        <v>14</v>
      </c>
      <c r="AS6" s="38" t="s">
        <v>39</v>
      </c>
      <c r="AT6" s="39" t="s">
        <v>40</v>
      </c>
      <c r="AU6" s="39" t="s">
        <v>41</v>
      </c>
      <c r="AV6" s="34" t="s">
        <v>12</v>
      </c>
      <c r="AW6" s="34" t="s">
        <v>13</v>
      </c>
      <c r="AX6" s="34" t="s">
        <v>14</v>
      </c>
      <c r="AY6" s="40" t="s">
        <v>42</v>
      </c>
    </row>
    <row r="7" spans="1:51" ht="52.5" thickBot="1" thickTop="1">
      <c r="A7" s="41"/>
      <c r="B7" s="42" t="s">
        <v>43</v>
      </c>
      <c r="C7" s="42" t="s">
        <v>44</v>
      </c>
      <c r="D7" s="42" t="s">
        <v>45</v>
      </c>
      <c r="E7" s="42" t="s">
        <v>46</v>
      </c>
      <c r="F7" s="42" t="s">
        <v>47</v>
      </c>
      <c r="G7" s="42" t="s">
        <v>47</v>
      </c>
      <c r="H7" s="43">
        <v>1</v>
      </c>
      <c r="I7" s="42" t="s">
        <v>43</v>
      </c>
      <c r="J7" s="42" t="s">
        <v>44</v>
      </c>
      <c r="K7" s="42" t="s">
        <v>45</v>
      </c>
      <c r="L7" s="42" t="s">
        <v>48</v>
      </c>
      <c r="M7" s="42"/>
      <c r="N7" s="42" t="s">
        <v>49</v>
      </c>
      <c r="O7" s="44" t="s">
        <v>47</v>
      </c>
      <c r="P7" s="45" t="s">
        <v>50</v>
      </c>
      <c r="Q7" s="43">
        <v>1</v>
      </c>
      <c r="R7" s="42" t="s">
        <v>43</v>
      </c>
      <c r="S7" s="42" t="s">
        <v>44</v>
      </c>
      <c r="T7" s="42" t="s">
        <v>45</v>
      </c>
      <c r="U7" s="42" t="s">
        <v>51</v>
      </c>
      <c r="V7" s="42" t="s">
        <v>52</v>
      </c>
      <c r="W7" s="42" t="s">
        <v>52</v>
      </c>
      <c r="X7" s="43">
        <v>1</v>
      </c>
      <c r="Y7" s="42" t="s">
        <v>43</v>
      </c>
      <c r="Z7" s="42" t="s">
        <v>44</v>
      </c>
      <c r="AA7" s="42" t="s">
        <v>45</v>
      </c>
      <c r="AB7" s="42" t="s">
        <v>53</v>
      </c>
      <c r="AC7" s="42" t="s">
        <v>48</v>
      </c>
      <c r="AD7" s="42" t="s">
        <v>54</v>
      </c>
      <c r="AE7" s="42" t="s">
        <v>55</v>
      </c>
      <c r="AF7" s="46"/>
      <c r="AG7" s="46"/>
      <c r="AH7" s="46"/>
      <c r="AI7" s="42" t="s">
        <v>56</v>
      </c>
      <c r="AJ7" s="42" t="s">
        <v>57</v>
      </c>
      <c r="AK7" s="42" t="s">
        <v>58</v>
      </c>
      <c r="AL7" s="42">
        <v>1.5</v>
      </c>
      <c r="AM7" s="42" t="s">
        <v>43</v>
      </c>
      <c r="AN7" s="42" t="s">
        <v>44</v>
      </c>
      <c r="AO7" s="42" t="s">
        <v>59</v>
      </c>
      <c r="AP7" s="42" t="s">
        <v>47</v>
      </c>
      <c r="AQ7" s="42" t="s">
        <v>47</v>
      </c>
      <c r="AR7" s="42">
        <v>1</v>
      </c>
      <c r="AS7" s="42" t="s">
        <v>43</v>
      </c>
      <c r="AT7" s="42" t="s">
        <v>44</v>
      </c>
      <c r="AU7" s="42" t="s">
        <v>59</v>
      </c>
      <c r="AV7" s="42" t="s">
        <v>47</v>
      </c>
      <c r="AW7" s="42" t="s">
        <v>47</v>
      </c>
      <c r="AX7" s="42">
        <v>1</v>
      </c>
      <c r="AY7" s="47"/>
    </row>
    <row r="8" spans="1:51" ht="15" thickBot="1" thickTop="1">
      <c r="A8" s="48"/>
      <c r="B8" s="49" t="s">
        <v>60</v>
      </c>
      <c r="C8" s="49" t="s">
        <v>60</v>
      </c>
      <c r="D8" s="49" t="s">
        <v>60</v>
      </c>
      <c r="E8" s="49"/>
      <c r="F8" s="49"/>
      <c r="G8" s="49"/>
      <c r="H8" s="50"/>
      <c r="I8" s="51"/>
      <c r="J8" s="49"/>
      <c r="K8" s="49"/>
      <c r="L8" s="52"/>
      <c r="M8" s="52"/>
      <c r="N8" s="49"/>
      <c r="O8" s="49"/>
      <c r="P8" s="49"/>
      <c r="Q8" s="50"/>
      <c r="R8" s="51"/>
      <c r="S8" s="49"/>
      <c r="T8" s="49"/>
      <c r="U8" s="49"/>
      <c r="V8" s="49"/>
      <c r="W8" s="49"/>
      <c r="X8" s="50"/>
      <c r="Y8" s="53" t="s">
        <v>61</v>
      </c>
      <c r="Z8" s="49"/>
      <c r="AA8" s="49"/>
      <c r="AB8" s="52"/>
      <c r="AC8" s="54"/>
      <c r="AD8" s="49"/>
      <c r="AE8" s="49"/>
      <c r="AF8" s="49"/>
      <c r="AG8" s="49"/>
      <c r="AH8" s="49"/>
      <c r="AI8" s="49"/>
      <c r="AJ8" s="49"/>
      <c r="AK8" s="49"/>
      <c r="AL8" s="49"/>
      <c r="AM8" s="55"/>
      <c r="AN8" s="49"/>
      <c r="AO8" s="49"/>
      <c r="AP8" s="49"/>
      <c r="AQ8" s="49"/>
      <c r="AR8" s="49"/>
      <c r="AS8" s="55"/>
      <c r="AT8" s="49"/>
      <c r="AU8" s="49"/>
      <c r="AV8" s="49"/>
      <c r="AW8" s="49"/>
      <c r="AX8" s="49"/>
      <c r="AY8" s="56"/>
    </row>
    <row r="9" spans="1:51" ht="14.25" thickBot="1" thickTop="1">
      <c r="A9" s="57"/>
      <c r="B9" s="58"/>
      <c r="C9" s="58"/>
      <c r="D9" s="58"/>
      <c r="E9" s="58"/>
      <c r="F9" s="58"/>
      <c r="G9" s="58"/>
      <c r="H9" s="59"/>
      <c r="I9" s="60"/>
      <c r="J9" s="58"/>
      <c r="K9" s="58"/>
      <c r="L9" s="58"/>
      <c r="M9" s="58"/>
      <c r="N9" s="58"/>
      <c r="O9" s="58"/>
      <c r="P9" s="58"/>
      <c r="Q9" s="59"/>
      <c r="R9" s="60"/>
      <c r="S9" s="58"/>
      <c r="T9" s="58"/>
      <c r="U9" s="58"/>
      <c r="V9" s="58"/>
      <c r="W9" s="58"/>
      <c r="X9" s="59"/>
      <c r="Y9" s="61"/>
      <c r="Z9" s="58"/>
      <c r="AA9" s="58"/>
      <c r="AB9" s="58"/>
      <c r="AC9" s="58"/>
      <c r="AD9" s="58"/>
      <c r="AE9" s="58"/>
      <c r="AF9" s="58"/>
      <c r="AG9" s="58"/>
      <c r="AH9" s="58"/>
      <c r="AI9" s="62" t="s">
        <v>62</v>
      </c>
      <c r="AJ9" s="58"/>
      <c r="AK9" s="58"/>
      <c r="AL9" s="58"/>
      <c r="AM9" s="60"/>
      <c r="AN9" s="58"/>
      <c r="AO9" s="58"/>
      <c r="AP9" s="58"/>
      <c r="AQ9" s="58"/>
      <c r="AR9" s="58"/>
      <c r="AS9" s="60"/>
      <c r="AT9" s="58"/>
      <c r="AU9" s="58"/>
      <c r="AV9" s="58"/>
      <c r="AW9" s="58"/>
      <c r="AX9" s="58"/>
      <c r="AY9" s="63"/>
    </row>
    <row r="10" spans="1:51" ht="13.5" thickTop="1">
      <c r="A10" s="64" t="s">
        <v>63</v>
      </c>
      <c r="B10" s="65">
        <v>2137825.02836</v>
      </c>
      <c r="C10" s="65">
        <v>252084.8629</v>
      </c>
      <c r="D10" s="65">
        <v>1981377</v>
      </c>
      <c r="E10" s="66">
        <f>IF(AND(B10=0,D10=0),0,B10/(IF(C10&gt;0,C10,0)+D10))</f>
        <v>0.9571800010877185</v>
      </c>
      <c r="F10" s="67">
        <f>IF(E10&lt;=1.05,1,0)</f>
        <v>1</v>
      </c>
      <c r="G10" s="68"/>
      <c r="H10" s="69">
        <f aca="true" t="shared" si="0" ref="H10:H42">F10+G10</f>
        <v>1</v>
      </c>
      <c r="I10" s="70">
        <v>2269899.8</v>
      </c>
      <c r="J10" s="71">
        <v>7701667.80125</v>
      </c>
      <c r="K10" s="72">
        <v>4952979.06494</v>
      </c>
      <c r="L10" s="70">
        <v>88684.65849</v>
      </c>
      <c r="M10" s="65">
        <v>0</v>
      </c>
      <c r="N10" s="73">
        <f>(I10-M10)/(J10-K10-L10)</f>
        <v>0.8533444812837622</v>
      </c>
      <c r="O10" s="67">
        <f aca="true" t="shared" si="1" ref="O10:O16">IF(N10&lt;=1,1,0)</f>
        <v>1</v>
      </c>
      <c r="P10" s="68"/>
      <c r="Q10" s="69">
        <f aca="true" t="shared" si="2" ref="Q10:Q42">O10+P10</f>
        <v>1</v>
      </c>
      <c r="R10" s="74">
        <v>313820.8</v>
      </c>
      <c r="S10" s="65">
        <v>7797515.29388</v>
      </c>
      <c r="T10" s="75">
        <v>2297809.4321399997</v>
      </c>
      <c r="U10" s="66">
        <f aca="true" t="shared" si="3" ref="U10:U42">R10/(S10-T10)</f>
        <v>0.057061378897218545</v>
      </c>
      <c r="V10" s="67">
        <f aca="true" t="shared" si="4" ref="V10:V16">IF(U10&lt;=0.15,1,0)</f>
        <v>1</v>
      </c>
      <c r="W10" s="68"/>
      <c r="X10" s="69">
        <f>V10+W10</f>
        <v>1</v>
      </c>
      <c r="Y10" s="65">
        <v>95847.49263</v>
      </c>
      <c r="Z10" s="76">
        <v>0</v>
      </c>
      <c r="AA10" s="77">
        <v>-53152.50737</v>
      </c>
      <c r="AB10" s="78">
        <v>0</v>
      </c>
      <c r="AC10" s="78">
        <f aca="true" t="shared" si="5" ref="AC10:AE42">J10</f>
        <v>7701667.80125</v>
      </c>
      <c r="AD10" s="78">
        <f t="shared" si="5"/>
        <v>4952979.06494</v>
      </c>
      <c r="AE10" s="78">
        <f t="shared" si="5"/>
        <v>88684.65849</v>
      </c>
      <c r="AF10" s="78">
        <f>AC10-AD10-AE10</f>
        <v>2660004.07782</v>
      </c>
      <c r="AG10" s="78">
        <f aca="true" t="shared" si="6" ref="AG10:AG17">AF10*10%</f>
        <v>266000.40778199997</v>
      </c>
      <c r="AH10" s="78">
        <f aca="true" t="shared" si="7" ref="AH10:AH15">IF(AA10&gt;0,AA10,0)+AG10+IF(AB10&gt;0,AB10,0)</f>
        <v>266000.40778199997</v>
      </c>
      <c r="AI10" s="79">
        <f>IF((Y10-IF(Z10&gt;0,Z10,0)-IF(AA10&gt;0,AA10,0)-IF(AB10&gt;0,AB10,0))/(AC10-AD10-AE10)&gt;0,(Y10-IF(Z10&gt;0,Z10,0)-IF(AA10&gt;0,AA10,0)-IF(AB10&gt;0,AB10,0))/(AC10-AD10-AE10),0)</f>
        <v>0.03603283672728486</v>
      </c>
      <c r="AJ10" s="80">
        <f>IF(AI10&lt;=0.1,1.5,0)</f>
        <v>1.5</v>
      </c>
      <c r="AK10" s="81"/>
      <c r="AL10" s="82">
        <f aca="true" t="shared" si="8" ref="AL10:AL42">AJ10+AK10</f>
        <v>1.5</v>
      </c>
      <c r="AM10" s="83">
        <v>211307.4</v>
      </c>
      <c r="AN10" s="81">
        <v>224269</v>
      </c>
      <c r="AO10" s="84">
        <f aca="true" t="shared" si="9" ref="AO10:AO42">AM10/AN10</f>
        <v>0.9422051197445924</v>
      </c>
      <c r="AP10" s="85">
        <f>IF(AO10&lt;=1,1,0)</f>
        <v>1</v>
      </c>
      <c r="AQ10" s="68"/>
      <c r="AR10" s="86">
        <f>AP10+AQ10</f>
        <v>1</v>
      </c>
      <c r="AS10" s="83">
        <v>398456.9</v>
      </c>
      <c r="AT10" s="81">
        <v>408720</v>
      </c>
      <c r="AU10" s="79">
        <f aca="true" t="shared" si="10" ref="AU10:AU42">AS10/AT10</f>
        <v>0.9748896555098846</v>
      </c>
      <c r="AV10" s="85">
        <f>IF(AU10&lt;=1,1,0)</f>
        <v>1</v>
      </c>
      <c r="AW10" s="68"/>
      <c r="AX10" s="86">
        <f aca="true" t="shared" si="11" ref="AX10:AX42">AV10+AW10</f>
        <v>1</v>
      </c>
      <c r="AY10" s="87">
        <f>H10+Q10+X10+AL10+AR10+AX10</f>
        <v>6.5</v>
      </c>
    </row>
    <row r="11" spans="1:51" ht="12.75">
      <c r="A11" s="88" t="s">
        <v>64</v>
      </c>
      <c r="B11" s="89">
        <v>16000</v>
      </c>
      <c r="C11" s="89">
        <v>1398.77748</v>
      </c>
      <c r="D11" s="89">
        <v>16000</v>
      </c>
      <c r="E11" s="90">
        <f aca="true" t="shared" si="12" ref="E11:E42">IF(AND(B11=0,D11=0),0,B11/(IF(C11&gt;0,C11,0)+D11))</f>
        <v>0.9196048411097903</v>
      </c>
      <c r="F11" s="91"/>
      <c r="G11" s="92">
        <f>IF(E11&lt;=1.05,1,0)</f>
        <v>1</v>
      </c>
      <c r="H11" s="93">
        <f t="shared" si="0"/>
        <v>1</v>
      </c>
      <c r="I11" s="89">
        <v>27620</v>
      </c>
      <c r="J11" s="94">
        <v>698365.81653</v>
      </c>
      <c r="K11" s="95">
        <v>493466.58854</v>
      </c>
      <c r="L11" s="89">
        <v>143363.05322</v>
      </c>
      <c r="M11" s="89">
        <v>11620</v>
      </c>
      <c r="N11" s="90">
        <f>(I11-M11)/(J11-K11-L11)</f>
        <v>0.26000966195578845</v>
      </c>
      <c r="O11" s="91"/>
      <c r="P11" s="92">
        <f>IF(N11&lt;=0.5,1,0)</f>
        <v>1</v>
      </c>
      <c r="Q11" s="93">
        <f t="shared" si="2"/>
        <v>1</v>
      </c>
      <c r="R11" s="96">
        <v>2261.6</v>
      </c>
      <c r="S11" s="89">
        <v>694735.09006</v>
      </c>
      <c r="T11" s="97">
        <v>375443.43328</v>
      </c>
      <c r="U11" s="90">
        <f t="shared" si="3"/>
        <v>0.007083179130979609</v>
      </c>
      <c r="V11" s="91"/>
      <c r="W11" s="92">
        <f>IF(U11&lt;=0.15,1,0)</f>
        <v>1</v>
      </c>
      <c r="X11" s="93">
        <f aca="true" t="shared" si="13" ref="X11:X42">V11+W11</f>
        <v>1</v>
      </c>
      <c r="Y11" s="89">
        <v>-3630.72647</v>
      </c>
      <c r="Z11" s="98">
        <v>0</v>
      </c>
      <c r="AA11" s="98">
        <v>-3630.72647</v>
      </c>
      <c r="AB11" s="98">
        <v>0</v>
      </c>
      <c r="AC11" s="98">
        <f t="shared" si="5"/>
        <v>698365.81653</v>
      </c>
      <c r="AD11" s="98">
        <f t="shared" si="5"/>
        <v>493466.58854</v>
      </c>
      <c r="AE11" s="98">
        <f t="shared" si="5"/>
        <v>143363.05322</v>
      </c>
      <c r="AF11" s="98">
        <f aca="true" t="shared" si="14" ref="AF11:AF42">AC11-AD11-AE11</f>
        <v>61536.174769999925</v>
      </c>
      <c r="AG11" s="98">
        <f t="shared" si="6"/>
        <v>6153.6174769999925</v>
      </c>
      <c r="AH11" s="98">
        <f t="shared" si="7"/>
        <v>6153.6174769999925</v>
      </c>
      <c r="AI11" s="99">
        <f>IF((Y11-IF(Z11&gt;0,Z11,0)-IF(AA11&gt;0,AA11,0)-IF(AB11&gt;0,AB11,0))/(AC11-AD11-AE11)&gt;0,(Y11-IF(Z11&gt;0,Z11,0)-IF(AA11&gt;0,AA11,0)-IF(AB11&gt;0,AB11,0))/(AC11-AD11-AE11),0)</f>
        <v>0</v>
      </c>
      <c r="AJ11" s="100"/>
      <c r="AK11" s="101">
        <f>IF(AI11&lt;=0.05,1.5,0)</f>
        <v>1.5</v>
      </c>
      <c r="AL11" s="93">
        <f t="shared" si="8"/>
        <v>1.5</v>
      </c>
      <c r="AM11" s="102">
        <v>26058.6</v>
      </c>
      <c r="AN11" s="92">
        <v>26067</v>
      </c>
      <c r="AO11" s="103">
        <f t="shared" si="9"/>
        <v>0.9996777534814132</v>
      </c>
      <c r="AP11" s="100"/>
      <c r="AQ11" s="101">
        <f>IF(AO11&lt;=1,1,0)</f>
        <v>1</v>
      </c>
      <c r="AR11" s="104">
        <f aca="true" t="shared" si="15" ref="AR11:AR42">AP11+AQ11</f>
        <v>1</v>
      </c>
      <c r="AS11" s="102">
        <v>58255.7</v>
      </c>
      <c r="AT11" s="92">
        <v>64041</v>
      </c>
      <c r="AU11" s="99">
        <f t="shared" si="10"/>
        <v>0.9096625599225495</v>
      </c>
      <c r="AV11" s="100"/>
      <c r="AW11" s="101">
        <f>IF(AU11&lt;=1,1,0)</f>
        <v>1</v>
      </c>
      <c r="AX11" s="104">
        <f t="shared" si="11"/>
        <v>1</v>
      </c>
      <c r="AY11" s="105">
        <f aca="true" t="shared" si="16" ref="AY11:AY42">H11+Q11+X11+AL11+AR11+AX11</f>
        <v>6.5</v>
      </c>
    </row>
    <row r="12" spans="1:51" ht="12.75">
      <c r="A12" s="106" t="s">
        <v>65</v>
      </c>
      <c r="B12" s="65">
        <v>159600</v>
      </c>
      <c r="C12" s="65">
        <v>4277.6858600000005</v>
      </c>
      <c r="D12" s="65">
        <v>162400</v>
      </c>
      <c r="E12" s="66">
        <f t="shared" si="12"/>
        <v>0.9575366923083821</v>
      </c>
      <c r="F12" s="107">
        <f aca="true" t="shared" si="17" ref="F12:F17">IF(E12&lt;=1.05,1,0)</f>
        <v>1</v>
      </c>
      <c r="G12" s="68"/>
      <c r="H12" s="69">
        <f t="shared" si="0"/>
        <v>1</v>
      </c>
      <c r="I12" s="70">
        <v>82000</v>
      </c>
      <c r="J12" s="71">
        <v>1107765.03473</v>
      </c>
      <c r="K12" s="72">
        <v>718857.66185</v>
      </c>
      <c r="L12" s="70">
        <v>131977.1494</v>
      </c>
      <c r="M12" s="70">
        <v>0</v>
      </c>
      <c r="N12" s="66">
        <f aca="true" t="shared" si="18" ref="N12:N41">(I12-M12)/(J12-K12-L12)</f>
        <v>0.31915279911155753</v>
      </c>
      <c r="O12" s="67">
        <f t="shared" si="1"/>
        <v>1</v>
      </c>
      <c r="P12" s="68"/>
      <c r="Q12" s="69">
        <f t="shared" si="2"/>
        <v>1</v>
      </c>
      <c r="R12" s="108">
        <v>12319.9</v>
      </c>
      <c r="S12" s="65">
        <v>1102641.2434200002</v>
      </c>
      <c r="T12" s="75">
        <v>358688.64419</v>
      </c>
      <c r="U12" s="66">
        <f t="shared" si="3"/>
        <v>0.016560060429590868</v>
      </c>
      <c r="V12" s="67">
        <f t="shared" si="4"/>
        <v>1</v>
      </c>
      <c r="W12" s="68"/>
      <c r="X12" s="69">
        <f t="shared" si="13"/>
        <v>1</v>
      </c>
      <c r="Y12" s="65">
        <v>-5123.79131</v>
      </c>
      <c r="Z12" s="77">
        <v>0</v>
      </c>
      <c r="AA12" s="77">
        <v>-2323.79131</v>
      </c>
      <c r="AB12" s="78">
        <v>0</v>
      </c>
      <c r="AC12" s="78">
        <f t="shared" si="5"/>
        <v>1107765.03473</v>
      </c>
      <c r="AD12" s="78">
        <f t="shared" si="5"/>
        <v>718857.66185</v>
      </c>
      <c r="AE12" s="78">
        <f t="shared" si="5"/>
        <v>131977.1494</v>
      </c>
      <c r="AF12" s="78">
        <f t="shared" si="14"/>
        <v>256930.22347999993</v>
      </c>
      <c r="AG12" s="78">
        <f t="shared" si="6"/>
        <v>25693.022347999995</v>
      </c>
      <c r="AH12" s="78">
        <f t="shared" si="7"/>
        <v>25693.022347999995</v>
      </c>
      <c r="AI12" s="79">
        <f>IF((Y12-IF(Z12&gt;0,Z12,0)-IF(AA12&gt;0,AA12,0)-IF(AB12&gt;0,AB12,0))/(AC12-AD12-AE12)&gt;0,(Y12-IF(Z12&gt;0,Z12,0)-IF(AA12&gt;0,AA12,0)-IF(AB12&gt;0,AB12,0))/(AC12-AD12-AE12),0)</f>
        <v>0</v>
      </c>
      <c r="AJ12" s="80">
        <f aca="true" t="shared" si="19" ref="AJ12:AJ17">IF(AI12&lt;=0.1,1.5,0)</f>
        <v>1.5</v>
      </c>
      <c r="AK12" s="68"/>
      <c r="AL12" s="69">
        <f t="shared" si="8"/>
        <v>1.5</v>
      </c>
      <c r="AM12" s="83">
        <v>29740.2</v>
      </c>
      <c r="AN12" s="81">
        <v>29784</v>
      </c>
      <c r="AO12" s="84">
        <f t="shared" si="9"/>
        <v>0.9985294117647059</v>
      </c>
      <c r="AP12" s="85">
        <f aca="true" t="shared" si="20" ref="AP12:AP17">IF(AO12&lt;=1,1,0)</f>
        <v>1</v>
      </c>
      <c r="AQ12" s="68"/>
      <c r="AR12" s="86">
        <f t="shared" si="15"/>
        <v>1</v>
      </c>
      <c r="AS12" s="83">
        <v>64784.7</v>
      </c>
      <c r="AT12" s="81">
        <v>65390</v>
      </c>
      <c r="AU12" s="79">
        <f t="shared" si="10"/>
        <v>0.9907432329102309</v>
      </c>
      <c r="AV12" s="85">
        <f aca="true" t="shared" si="21" ref="AV12:AV17">IF(AU12&lt;=1,1,0)</f>
        <v>1</v>
      </c>
      <c r="AW12" s="68"/>
      <c r="AX12" s="86">
        <f t="shared" si="11"/>
        <v>1</v>
      </c>
      <c r="AY12" s="109">
        <f t="shared" si="16"/>
        <v>6.5</v>
      </c>
    </row>
    <row r="13" spans="1:51" ht="12.75">
      <c r="A13" s="106" t="s">
        <v>66</v>
      </c>
      <c r="B13" s="65">
        <v>35000</v>
      </c>
      <c r="C13" s="65">
        <v>15890.22275</v>
      </c>
      <c r="D13" s="65">
        <v>30000</v>
      </c>
      <c r="E13" s="66">
        <f t="shared" si="12"/>
        <v>0.7626896951595207</v>
      </c>
      <c r="F13" s="67">
        <f t="shared" si="17"/>
        <v>1</v>
      </c>
      <c r="G13" s="68"/>
      <c r="H13" s="69">
        <f t="shared" si="0"/>
        <v>1</v>
      </c>
      <c r="I13" s="70">
        <v>35000</v>
      </c>
      <c r="J13" s="71">
        <v>583523.16345</v>
      </c>
      <c r="K13" s="72">
        <v>287623.27995</v>
      </c>
      <c r="L13" s="70">
        <v>84177.30851999999</v>
      </c>
      <c r="M13" s="70">
        <v>0</v>
      </c>
      <c r="N13" s="66">
        <f t="shared" si="18"/>
        <v>0.1653106665801047</v>
      </c>
      <c r="O13" s="67">
        <f t="shared" si="1"/>
        <v>1</v>
      </c>
      <c r="P13" s="68"/>
      <c r="Q13" s="69">
        <f t="shared" si="2"/>
        <v>1</v>
      </c>
      <c r="R13" s="108">
        <v>4410.3</v>
      </c>
      <c r="S13" s="65">
        <v>564552.01414</v>
      </c>
      <c r="T13" s="75">
        <v>214376.67196</v>
      </c>
      <c r="U13" s="66">
        <f t="shared" si="3"/>
        <v>0.0125945475559298</v>
      </c>
      <c r="V13" s="67">
        <f t="shared" si="4"/>
        <v>1</v>
      </c>
      <c r="W13" s="68"/>
      <c r="X13" s="69">
        <f t="shared" si="13"/>
        <v>1</v>
      </c>
      <c r="Y13" s="65">
        <v>-18971.149309999997</v>
      </c>
      <c r="Z13" s="77">
        <v>0</v>
      </c>
      <c r="AA13" s="77">
        <v>-23971.149309999997</v>
      </c>
      <c r="AB13" s="78">
        <v>0</v>
      </c>
      <c r="AC13" s="78">
        <f t="shared" si="5"/>
        <v>583523.16345</v>
      </c>
      <c r="AD13" s="78">
        <f t="shared" si="5"/>
        <v>287623.27995</v>
      </c>
      <c r="AE13" s="78">
        <f t="shared" si="5"/>
        <v>84177.30851999999</v>
      </c>
      <c r="AF13" s="78">
        <f t="shared" si="14"/>
        <v>211722.57498</v>
      </c>
      <c r="AG13" s="78">
        <f t="shared" si="6"/>
        <v>21172.257498000003</v>
      </c>
      <c r="AH13" s="78">
        <f t="shared" si="7"/>
        <v>21172.257498000003</v>
      </c>
      <c r="AI13" s="79">
        <f>IF((Y13-IF(Z13&gt;0,Z13,0)-IF(AA13&gt;0,AA13,0)-IF(AB13&gt;0,AB13,0))/(AC13-AD13-AE13)&gt;0,(Y13-IF(Z13&gt;0,Z13,0)-IF(AA13&gt;0,AA13,0)-IF(AB13&gt;0,AB13,0))/(AC13-AD13-AE13),0)</f>
        <v>0</v>
      </c>
      <c r="AJ13" s="80">
        <f t="shared" si="19"/>
        <v>1.5</v>
      </c>
      <c r="AK13" s="68"/>
      <c r="AL13" s="69">
        <f t="shared" si="8"/>
        <v>1.5</v>
      </c>
      <c r="AM13" s="83">
        <v>16928.9</v>
      </c>
      <c r="AN13" s="81">
        <v>17052</v>
      </c>
      <c r="AO13" s="110">
        <f t="shared" si="9"/>
        <v>0.9927809054656346</v>
      </c>
      <c r="AP13" s="85">
        <f t="shared" si="20"/>
        <v>1</v>
      </c>
      <c r="AQ13" s="68"/>
      <c r="AR13" s="86">
        <f t="shared" si="15"/>
        <v>1</v>
      </c>
      <c r="AS13" s="83">
        <v>35271.4</v>
      </c>
      <c r="AT13" s="81">
        <v>39198</v>
      </c>
      <c r="AU13" s="111">
        <f t="shared" si="10"/>
        <v>0.8998265217613144</v>
      </c>
      <c r="AV13" s="85">
        <f t="shared" si="21"/>
        <v>1</v>
      </c>
      <c r="AW13" s="68"/>
      <c r="AX13" s="86">
        <f t="shared" si="11"/>
        <v>1</v>
      </c>
      <c r="AY13" s="109">
        <f t="shared" si="16"/>
        <v>6.5</v>
      </c>
    </row>
    <row r="14" spans="1:51" s="9" customFormat="1" ht="12.75">
      <c r="A14" s="112" t="s">
        <v>67</v>
      </c>
      <c r="B14" s="65">
        <v>3500</v>
      </c>
      <c r="C14" s="65">
        <v>14526.83067</v>
      </c>
      <c r="D14" s="65">
        <v>0</v>
      </c>
      <c r="E14" s="73">
        <f t="shared" si="12"/>
        <v>0.24093348917654867</v>
      </c>
      <c r="F14" s="67">
        <f t="shared" si="17"/>
        <v>1</v>
      </c>
      <c r="G14" s="81"/>
      <c r="H14" s="82">
        <f t="shared" si="0"/>
        <v>1</v>
      </c>
      <c r="I14" s="65">
        <v>3500</v>
      </c>
      <c r="J14" s="71">
        <v>246741.16519</v>
      </c>
      <c r="K14" s="72">
        <v>149109.49715</v>
      </c>
      <c r="L14" s="65">
        <v>42257.7715</v>
      </c>
      <c r="M14" s="65">
        <v>0</v>
      </c>
      <c r="N14" s="73">
        <f t="shared" si="18"/>
        <v>0.06320667712938954</v>
      </c>
      <c r="O14" s="67">
        <f t="shared" si="1"/>
        <v>1</v>
      </c>
      <c r="P14" s="81"/>
      <c r="Q14" s="82">
        <f t="shared" si="2"/>
        <v>1</v>
      </c>
      <c r="R14" s="108">
        <v>4.8</v>
      </c>
      <c r="S14" s="65">
        <v>250216.6536</v>
      </c>
      <c r="T14" s="75">
        <v>100539.30984</v>
      </c>
      <c r="U14" s="73">
        <f t="shared" si="3"/>
        <v>3.206898171373589E-05</v>
      </c>
      <c r="V14" s="67">
        <f t="shared" si="4"/>
        <v>1</v>
      </c>
      <c r="W14" s="81"/>
      <c r="X14" s="82">
        <f t="shared" si="13"/>
        <v>1</v>
      </c>
      <c r="Y14" s="65">
        <v>3475.48841</v>
      </c>
      <c r="Z14" s="77">
        <v>0</v>
      </c>
      <c r="AA14" s="77">
        <v>-24.51159</v>
      </c>
      <c r="AB14" s="77">
        <v>0</v>
      </c>
      <c r="AC14" s="77">
        <f t="shared" si="5"/>
        <v>246741.16519</v>
      </c>
      <c r="AD14" s="77">
        <f t="shared" si="5"/>
        <v>149109.49715</v>
      </c>
      <c r="AE14" s="77">
        <f t="shared" si="5"/>
        <v>42257.7715</v>
      </c>
      <c r="AF14" s="77">
        <f t="shared" si="14"/>
        <v>55373.89653999999</v>
      </c>
      <c r="AG14" s="78">
        <f>AF14*5%</f>
        <v>2768.6948269999993</v>
      </c>
      <c r="AH14" s="77">
        <f t="shared" si="7"/>
        <v>2768.6948269999993</v>
      </c>
      <c r="AI14" s="111">
        <f>IF((Y14-IF(Z14&gt;0,Z14,0)-IF(AA14&gt;0,AA14,0)-IF(AB14&gt;0,AB14,0))/(AC14-AD14-AE14)&gt;0,(Y14-IF(Z14&gt;0,Z14,0)-IF(AA14&gt;0,AA14,0)-IF(AB14&gt;0,AB14,0))/(AC14-AD14-AE14),0)</f>
        <v>0.06276402108508726</v>
      </c>
      <c r="AJ14" s="80">
        <f t="shared" si="19"/>
        <v>1.5</v>
      </c>
      <c r="AK14" s="113"/>
      <c r="AL14" s="82">
        <f t="shared" si="8"/>
        <v>1.5</v>
      </c>
      <c r="AM14" s="83">
        <v>9091.6</v>
      </c>
      <c r="AN14" s="81">
        <v>9094</v>
      </c>
      <c r="AO14" s="110">
        <f t="shared" si="9"/>
        <v>0.999736089729492</v>
      </c>
      <c r="AP14" s="85">
        <f t="shared" si="20"/>
        <v>1</v>
      </c>
      <c r="AQ14" s="113"/>
      <c r="AR14" s="114">
        <f t="shared" si="15"/>
        <v>1</v>
      </c>
      <c r="AS14" s="83">
        <v>21222.3</v>
      </c>
      <c r="AT14" s="81">
        <v>22028</v>
      </c>
      <c r="AU14" s="111">
        <f t="shared" si="10"/>
        <v>0.9634238242237152</v>
      </c>
      <c r="AV14" s="85">
        <f t="shared" si="21"/>
        <v>1</v>
      </c>
      <c r="AW14" s="113"/>
      <c r="AX14" s="114">
        <f t="shared" si="11"/>
        <v>1</v>
      </c>
      <c r="AY14" s="109">
        <f t="shared" si="16"/>
        <v>6.5</v>
      </c>
    </row>
    <row r="15" spans="1:51" s="9" customFormat="1" ht="12.75">
      <c r="A15" s="112" t="s">
        <v>68</v>
      </c>
      <c r="B15" s="65">
        <v>1894.586</v>
      </c>
      <c r="C15" s="65">
        <v>3375.2984</v>
      </c>
      <c r="D15" s="65">
        <v>0</v>
      </c>
      <c r="E15" s="73">
        <f t="shared" si="12"/>
        <v>0.5613091867670129</v>
      </c>
      <c r="F15" s="67">
        <f t="shared" si="17"/>
        <v>1</v>
      </c>
      <c r="G15" s="81"/>
      <c r="H15" s="82">
        <f t="shared" si="0"/>
        <v>1</v>
      </c>
      <c r="I15" s="65">
        <v>0</v>
      </c>
      <c r="J15" s="71">
        <v>269453.77829000005</v>
      </c>
      <c r="K15" s="72">
        <v>195707.87681000002</v>
      </c>
      <c r="L15" s="65">
        <v>47321.7162</v>
      </c>
      <c r="M15" s="65">
        <v>0</v>
      </c>
      <c r="N15" s="73">
        <f t="shared" si="18"/>
        <v>0</v>
      </c>
      <c r="O15" s="67">
        <f t="shared" si="1"/>
        <v>1</v>
      </c>
      <c r="P15" s="81"/>
      <c r="Q15" s="82">
        <f t="shared" si="2"/>
        <v>1</v>
      </c>
      <c r="R15" s="108">
        <v>0</v>
      </c>
      <c r="S15" s="65">
        <v>270491.34177999996</v>
      </c>
      <c r="T15" s="75">
        <v>130430.05105</v>
      </c>
      <c r="U15" s="73">
        <f t="shared" si="3"/>
        <v>0</v>
      </c>
      <c r="V15" s="67">
        <f t="shared" si="4"/>
        <v>1</v>
      </c>
      <c r="W15" s="81"/>
      <c r="X15" s="82">
        <f t="shared" si="13"/>
        <v>1</v>
      </c>
      <c r="Y15" s="65">
        <v>1037.56349</v>
      </c>
      <c r="Z15" s="77">
        <v>0</v>
      </c>
      <c r="AA15" s="77">
        <v>1037.56349</v>
      </c>
      <c r="AB15" s="77">
        <v>0</v>
      </c>
      <c r="AC15" s="77">
        <f t="shared" si="5"/>
        <v>269453.77829000005</v>
      </c>
      <c r="AD15" s="77">
        <f t="shared" si="5"/>
        <v>195707.87681000002</v>
      </c>
      <c r="AE15" s="77">
        <f t="shared" si="5"/>
        <v>47321.7162</v>
      </c>
      <c r="AF15" s="77">
        <f t="shared" si="14"/>
        <v>26424.185280000027</v>
      </c>
      <c r="AG15" s="78">
        <f>AF15*5%</f>
        <v>1321.2092640000014</v>
      </c>
      <c r="AH15" s="77">
        <f t="shared" si="7"/>
        <v>2358.7727540000014</v>
      </c>
      <c r="AI15" s="111">
        <f aca="true" t="shared" si="22" ref="AI15:AI42">IF((Y15-IF(Z15&gt;0,Z15,0)-IF(AA15&gt;0,AA15,0)-IF(AB15&gt;0,AB15,0))/(AC15-AD15-AE15)&gt;0,(Y15-IF(Z15&gt;0,Z15,0)-IF(AA15&gt;0,AA15,0)-IF(AB15&gt;0,AB15,0))/(AC15-AD15-AE15),0)</f>
        <v>0</v>
      </c>
      <c r="AJ15" s="80">
        <f t="shared" si="19"/>
        <v>1.5</v>
      </c>
      <c r="AK15" s="113"/>
      <c r="AL15" s="82">
        <f t="shared" si="8"/>
        <v>1.5</v>
      </c>
      <c r="AM15" s="83">
        <v>11759</v>
      </c>
      <c r="AN15" s="81">
        <v>11794</v>
      </c>
      <c r="AO15" s="110">
        <f t="shared" si="9"/>
        <v>0.9970323893505172</v>
      </c>
      <c r="AP15" s="85">
        <f t="shared" si="20"/>
        <v>1</v>
      </c>
      <c r="AQ15" s="113"/>
      <c r="AR15" s="114">
        <f t="shared" si="15"/>
        <v>1</v>
      </c>
      <c r="AS15" s="83">
        <v>29048.5</v>
      </c>
      <c r="AT15" s="81">
        <v>29118</v>
      </c>
      <c r="AU15" s="111">
        <f t="shared" si="10"/>
        <v>0.9976131602445223</v>
      </c>
      <c r="AV15" s="85">
        <f t="shared" si="21"/>
        <v>1</v>
      </c>
      <c r="AW15" s="113"/>
      <c r="AX15" s="114">
        <f t="shared" si="11"/>
        <v>1</v>
      </c>
      <c r="AY15" s="109">
        <f t="shared" si="16"/>
        <v>6.5</v>
      </c>
    </row>
    <row r="16" spans="1:51" s="9" customFormat="1" ht="12.75">
      <c r="A16" s="112" t="s">
        <v>69</v>
      </c>
      <c r="B16" s="65">
        <v>59500.32</v>
      </c>
      <c r="C16" s="65">
        <v>11531.01486</v>
      </c>
      <c r="D16" s="65">
        <v>50700</v>
      </c>
      <c r="E16" s="73">
        <f t="shared" si="12"/>
        <v>0.9561200332962079</v>
      </c>
      <c r="F16" s="67">
        <f t="shared" si="17"/>
        <v>1</v>
      </c>
      <c r="G16" s="81"/>
      <c r="H16" s="82">
        <f t="shared" si="0"/>
        <v>1</v>
      </c>
      <c r="I16" s="65">
        <v>76229</v>
      </c>
      <c r="J16" s="71">
        <v>1038692.46254</v>
      </c>
      <c r="K16" s="72">
        <v>677990.9001699999</v>
      </c>
      <c r="L16" s="65">
        <v>177968.44775</v>
      </c>
      <c r="M16" s="65">
        <v>26929</v>
      </c>
      <c r="N16" s="73">
        <f t="shared" si="18"/>
        <v>0.2697923696124869</v>
      </c>
      <c r="O16" s="67">
        <f t="shared" si="1"/>
        <v>1</v>
      </c>
      <c r="P16" s="81"/>
      <c r="Q16" s="82">
        <f t="shared" si="2"/>
        <v>1</v>
      </c>
      <c r="R16" s="108">
        <v>7091.5</v>
      </c>
      <c r="S16" s="65">
        <v>1025066.1508200001</v>
      </c>
      <c r="T16" s="75">
        <v>466806.53777</v>
      </c>
      <c r="U16" s="73">
        <f t="shared" si="3"/>
        <v>0.012702871270332887</v>
      </c>
      <c r="V16" s="67">
        <f t="shared" si="4"/>
        <v>1</v>
      </c>
      <c r="W16" s="81"/>
      <c r="X16" s="82">
        <f t="shared" si="13"/>
        <v>1</v>
      </c>
      <c r="Y16" s="65">
        <v>-13626.311720000002</v>
      </c>
      <c r="Z16" s="77">
        <v>0</v>
      </c>
      <c r="AA16" s="77">
        <v>-12926.311720000002</v>
      </c>
      <c r="AB16" s="77">
        <v>0</v>
      </c>
      <c r="AC16" s="77">
        <f t="shared" si="5"/>
        <v>1038692.46254</v>
      </c>
      <c r="AD16" s="77">
        <f t="shared" si="5"/>
        <v>677990.9001699999</v>
      </c>
      <c r="AE16" s="77">
        <f t="shared" si="5"/>
        <v>177968.44775</v>
      </c>
      <c r="AF16" s="77">
        <f t="shared" si="14"/>
        <v>182733.11462000007</v>
      </c>
      <c r="AG16" s="78">
        <f t="shared" si="6"/>
        <v>18273.31146200001</v>
      </c>
      <c r="AH16" s="77">
        <f>IF(AA16&gt;0,AA16,0)+AG16+IF(AB16&gt;0,AB16,0)</f>
        <v>18273.31146200001</v>
      </c>
      <c r="AI16" s="111">
        <f>IF((Y16-IF(Z16&gt;0,Z16,0)-IF(AA16&gt;0,AA16,0)-IF(AB16&gt;0,AB16,0))/(AC16-AD16-AE16)&gt;0,(Y16-IF(Z16&gt;0,Z16,0)-IF(AA16&gt;0,AA16,0)-IF(AB16&gt;0,AB16,0))/(AC16-AD16-AE16),0)</f>
        <v>0</v>
      </c>
      <c r="AJ16" s="80">
        <f t="shared" si="19"/>
        <v>1.5</v>
      </c>
      <c r="AK16" s="81"/>
      <c r="AL16" s="82">
        <f t="shared" si="8"/>
        <v>1.5</v>
      </c>
      <c r="AM16" s="83">
        <v>22595</v>
      </c>
      <c r="AN16" s="81">
        <v>26067</v>
      </c>
      <c r="AO16" s="110">
        <f t="shared" si="9"/>
        <v>0.8668047723174895</v>
      </c>
      <c r="AP16" s="85">
        <f t="shared" si="20"/>
        <v>1</v>
      </c>
      <c r="AQ16" s="81"/>
      <c r="AR16" s="114">
        <f t="shared" si="15"/>
        <v>1</v>
      </c>
      <c r="AS16" s="83">
        <v>55447.2</v>
      </c>
      <c r="AT16" s="81">
        <v>64041</v>
      </c>
      <c r="AU16" s="111">
        <f t="shared" si="10"/>
        <v>0.865807841851314</v>
      </c>
      <c r="AV16" s="85">
        <f t="shared" si="21"/>
        <v>1</v>
      </c>
      <c r="AW16" s="81"/>
      <c r="AX16" s="114">
        <f t="shared" si="11"/>
        <v>1</v>
      </c>
      <c r="AY16" s="109">
        <f t="shared" si="16"/>
        <v>6.5</v>
      </c>
    </row>
    <row r="17" spans="1:51" s="9" customFormat="1" ht="12.75">
      <c r="A17" s="112" t="s">
        <v>70</v>
      </c>
      <c r="B17" s="65">
        <v>0</v>
      </c>
      <c r="C17" s="65">
        <v>3596.11181</v>
      </c>
      <c r="D17" s="65">
        <v>0</v>
      </c>
      <c r="E17" s="73">
        <f t="shared" si="12"/>
        <v>0</v>
      </c>
      <c r="F17" s="67">
        <f t="shared" si="17"/>
        <v>1</v>
      </c>
      <c r="G17" s="81"/>
      <c r="H17" s="82">
        <f t="shared" si="0"/>
        <v>1</v>
      </c>
      <c r="I17" s="65">
        <v>0</v>
      </c>
      <c r="J17" s="71">
        <v>263555.145</v>
      </c>
      <c r="K17" s="72">
        <v>174065.6588</v>
      </c>
      <c r="L17" s="65">
        <v>27537.413760000003</v>
      </c>
      <c r="M17" s="65">
        <v>0</v>
      </c>
      <c r="N17" s="73">
        <f t="shared" si="18"/>
        <v>0</v>
      </c>
      <c r="O17" s="67">
        <f>IF(N17&lt;=1,1,0)</f>
        <v>1</v>
      </c>
      <c r="P17" s="81"/>
      <c r="Q17" s="82">
        <f>O17+P17</f>
        <v>1</v>
      </c>
      <c r="R17" s="108">
        <v>0</v>
      </c>
      <c r="S17" s="65">
        <v>265256.70755</v>
      </c>
      <c r="T17" s="75">
        <v>136118.25244</v>
      </c>
      <c r="U17" s="73">
        <f t="shared" si="3"/>
        <v>0</v>
      </c>
      <c r="V17" s="67">
        <f>IF(U17&lt;=0.15,1,0)</f>
        <v>1</v>
      </c>
      <c r="W17" s="81"/>
      <c r="X17" s="82">
        <f t="shared" si="13"/>
        <v>1</v>
      </c>
      <c r="Y17" s="65">
        <v>1701.56255</v>
      </c>
      <c r="Z17" s="77">
        <v>0</v>
      </c>
      <c r="AA17" s="77">
        <v>1701.56255</v>
      </c>
      <c r="AB17" s="77">
        <v>0</v>
      </c>
      <c r="AC17" s="77">
        <f t="shared" si="5"/>
        <v>263555.145</v>
      </c>
      <c r="AD17" s="77">
        <f t="shared" si="5"/>
        <v>174065.6588</v>
      </c>
      <c r="AE17" s="77">
        <f t="shared" si="5"/>
        <v>27537.413760000003</v>
      </c>
      <c r="AF17" s="77">
        <f t="shared" si="14"/>
        <v>61952.07244000001</v>
      </c>
      <c r="AG17" s="78">
        <f t="shared" si="6"/>
        <v>6195.207244000001</v>
      </c>
      <c r="AH17" s="77">
        <f aca="true" t="shared" si="23" ref="AH17:AH42">IF(AA17&gt;0,AA17,0)+AG17+IF(AB17&gt;0,AB17,0)</f>
        <v>7896.769794000002</v>
      </c>
      <c r="AI17" s="111">
        <f t="shared" si="22"/>
        <v>0</v>
      </c>
      <c r="AJ17" s="80">
        <f t="shared" si="19"/>
        <v>1.5</v>
      </c>
      <c r="AK17" s="81"/>
      <c r="AL17" s="82">
        <f t="shared" si="8"/>
        <v>1.5</v>
      </c>
      <c r="AM17" s="83">
        <v>10096.1</v>
      </c>
      <c r="AN17" s="81">
        <v>11047</v>
      </c>
      <c r="AO17" s="110">
        <f t="shared" si="9"/>
        <v>0.9139223318548022</v>
      </c>
      <c r="AP17" s="85">
        <f t="shared" si="20"/>
        <v>1</v>
      </c>
      <c r="AQ17" s="81"/>
      <c r="AR17" s="114">
        <f>AP17+AQ17</f>
        <v>1</v>
      </c>
      <c r="AS17" s="83">
        <v>23863.5</v>
      </c>
      <c r="AT17" s="81">
        <v>26142</v>
      </c>
      <c r="AU17" s="111">
        <f t="shared" si="10"/>
        <v>0.9128414046362175</v>
      </c>
      <c r="AV17" s="85">
        <f t="shared" si="21"/>
        <v>1</v>
      </c>
      <c r="AW17" s="81"/>
      <c r="AX17" s="114">
        <f t="shared" si="11"/>
        <v>1</v>
      </c>
      <c r="AY17" s="109">
        <f t="shared" si="16"/>
        <v>6.5</v>
      </c>
    </row>
    <row r="18" spans="1:51" s="9" customFormat="1" ht="12.75">
      <c r="A18" s="88" t="s">
        <v>71</v>
      </c>
      <c r="B18" s="89">
        <v>0</v>
      </c>
      <c r="C18" s="89">
        <v>3376.844</v>
      </c>
      <c r="D18" s="89">
        <v>0</v>
      </c>
      <c r="E18" s="90">
        <f t="shared" si="12"/>
        <v>0</v>
      </c>
      <c r="F18" s="91"/>
      <c r="G18" s="92">
        <f aca="true" t="shared" si="24" ref="G18:G23">IF(E18&lt;=1.05,1,0)</f>
        <v>1</v>
      </c>
      <c r="H18" s="93">
        <f t="shared" si="0"/>
        <v>1</v>
      </c>
      <c r="I18" s="89">
        <v>0</v>
      </c>
      <c r="J18" s="94">
        <v>192354.13328</v>
      </c>
      <c r="K18" s="95">
        <v>160065.01101</v>
      </c>
      <c r="L18" s="89">
        <v>16671.353</v>
      </c>
      <c r="M18" s="89">
        <v>0</v>
      </c>
      <c r="N18" s="90">
        <f t="shared" si="18"/>
        <v>0</v>
      </c>
      <c r="O18" s="91"/>
      <c r="P18" s="92">
        <f aca="true" t="shared" si="25" ref="P18:P23">IF(N18&lt;=0.5,1,0)</f>
        <v>1</v>
      </c>
      <c r="Q18" s="93">
        <f t="shared" si="2"/>
        <v>1</v>
      </c>
      <c r="R18" s="96">
        <v>0</v>
      </c>
      <c r="S18" s="89">
        <v>188611.189</v>
      </c>
      <c r="T18" s="97">
        <v>102060.14902</v>
      </c>
      <c r="U18" s="90">
        <f t="shared" si="3"/>
        <v>0</v>
      </c>
      <c r="V18" s="91"/>
      <c r="W18" s="92">
        <f aca="true" t="shared" si="26" ref="W18:W23">IF(U18&lt;=0.15,1,0)</f>
        <v>1</v>
      </c>
      <c r="X18" s="93">
        <f t="shared" si="13"/>
        <v>1</v>
      </c>
      <c r="Y18" s="89">
        <v>-3742.9442799999997</v>
      </c>
      <c r="Z18" s="98">
        <v>0</v>
      </c>
      <c r="AA18" s="98">
        <v>-3742.9442799999997</v>
      </c>
      <c r="AB18" s="98">
        <v>0</v>
      </c>
      <c r="AC18" s="98">
        <f t="shared" si="5"/>
        <v>192354.13328</v>
      </c>
      <c r="AD18" s="98">
        <f t="shared" si="5"/>
        <v>160065.01101</v>
      </c>
      <c r="AE18" s="98">
        <f t="shared" si="5"/>
        <v>16671.353</v>
      </c>
      <c r="AF18" s="98">
        <f t="shared" si="14"/>
        <v>15617.769270000023</v>
      </c>
      <c r="AG18" s="98">
        <f>AF18*5%</f>
        <v>780.8884635000012</v>
      </c>
      <c r="AH18" s="98">
        <f t="shared" si="23"/>
        <v>780.8884635000012</v>
      </c>
      <c r="AI18" s="99">
        <f t="shared" si="22"/>
        <v>0</v>
      </c>
      <c r="AJ18" s="91"/>
      <c r="AK18" s="101">
        <f>IF(AI18&lt;=0.05,1.5,0)</f>
        <v>1.5</v>
      </c>
      <c r="AL18" s="93">
        <f t="shared" si="8"/>
        <v>1.5</v>
      </c>
      <c r="AM18" s="102">
        <v>6991.8</v>
      </c>
      <c r="AN18" s="92">
        <v>10485</v>
      </c>
      <c r="AO18" s="103">
        <f t="shared" si="9"/>
        <v>0.6668383404864092</v>
      </c>
      <c r="AP18" s="91"/>
      <c r="AQ18" s="101">
        <f aca="true" t="shared" si="27" ref="AQ18:AQ32">IF(AO18&lt;=1,1,0)</f>
        <v>1</v>
      </c>
      <c r="AR18" s="104">
        <f t="shared" si="15"/>
        <v>1</v>
      </c>
      <c r="AS18" s="102">
        <v>19460</v>
      </c>
      <c r="AT18" s="92">
        <v>26192</v>
      </c>
      <c r="AU18" s="99">
        <f t="shared" si="10"/>
        <v>0.7429749541844838</v>
      </c>
      <c r="AV18" s="91"/>
      <c r="AW18" s="101">
        <f aca="true" t="shared" si="28" ref="AW18:AW32">IF(AU18&lt;=1,1,0)</f>
        <v>1</v>
      </c>
      <c r="AX18" s="104">
        <f t="shared" si="11"/>
        <v>1</v>
      </c>
      <c r="AY18" s="105">
        <f t="shared" si="16"/>
        <v>6.5</v>
      </c>
    </row>
    <row r="19" spans="1:51" s="9" customFormat="1" ht="12.75">
      <c r="A19" s="88" t="s">
        <v>72</v>
      </c>
      <c r="B19" s="89">
        <v>0</v>
      </c>
      <c r="C19" s="89">
        <v>1954.00377</v>
      </c>
      <c r="D19" s="89">
        <v>0</v>
      </c>
      <c r="E19" s="90">
        <f t="shared" si="12"/>
        <v>0</v>
      </c>
      <c r="F19" s="91"/>
      <c r="G19" s="92">
        <f t="shared" si="24"/>
        <v>1</v>
      </c>
      <c r="H19" s="93">
        <f t="shared" si="0"/>
        <v>1</v>
      </c>
      <c r="I19" s="89">
        <v>0</v>
      </c>
      <c r="J19" s="94">
        <v>246933.19212</v>
      </c>
      <c r="K19" s="95">
        <v>175050.99745</v>
      </c>
      <c r="L19" s="89">
        <v>40317.97538</v>
      </c>
      <c r="M19" s="89">
        <v>0</v>
      </c>
      <c r="N19" s="90">
        <f t="shared" si="18"/>
        <v>0</v>
      </c>
      <c r="O19" s="91"/>
      <c r="P19" s="92">
        <f t="shared" si="25"/>
        <v>1</v>
      </c>
      <c r="Q19" s="93">
        <f t="shared" si="2"/>
        <v>1</v>
      </c>
      <c r="R19" s="96">
        <v>0</v>
      </c>
      <c r="S19" s="89">
        <v>247683.65453</v>
      </c>
      <c r="T19" s="97">
        <v>123954.86821</v>
      </c>
      <c r="U19" s="90">
        <f t="shared" si="3"/>
        <v>0</v>
      </c>
      <c r="V19" s="91"/>
      <c r="W19" s="92">
        <f t="shared" si="26"/>
        <v>1</v>
      </c>
      <c r="X19" s="93">
        <f t="shared" si="13"/>
        <v>1</v>
      </c>
      <c r="Y19" s="89">
        <v>750.46241</v>
      </c>
      <c r="Z19" s="98">
        <v>0</v>
      </c>
      <c r="AA19" s="98">
        <v>750.46241</v>
      </c>
      <c r="AB19" s="98">
        <v>0</v>
      </c>
      <c r="AC19" s="98">
        <f t="shared" si="5"/>
        <v>246933.19212</v>
      </c>
      <c r="AD19" s="98">
        <f t="shared" si="5"/>
        <v>175050.99745</v>
      </c>
      <c r="AE19" s="98">
        <f t="shared" si="5"/>
        <v>40317.97538</v>
      </c>
      <c r="AF19" s="98">
        <f t="shared" si="14"/>
        <v>31564.219289999994</v>
      </c>
      <c r="AG19" s="98">
        <f>AF19*10%</f>
        <v>3156.4219289999996</v>
      </c>
      <c r="AH19" s="98">
        <f t="shared" si="23"/>
        <v>3906.8843389999997</v>
      </c>
      <c r="AI19" s="99">
        <f t="shared" si="22"/>
        <v>0</v>
      </c>
      <c r="AJ19" s="100"/>
      <c r="AK19" s="101">
        <f aca="true" t="shared" si="29" ref="AK19:AK32">IF(AI19&lt;=0.05,1.5,0)</f>
        <v>1.5</v>
      </c>
      <c r="AL19" s="93">
        <f t="shared" si="8"/>
        <v>1.5</v>
      </c>
      <c r="AM19" s="102">
        <v>10510.2</v>
      </c>
      <c r="AN19" s="92">
        <v>11794</v>
      </c>
      <c r="AO19" s="103">
        <f t="shared" si="9"/>
        <v>0.8911480413769715</v>
      </c>
      <c r="AP19" s="100"/>
      <c r="AQ19" s="101">
        <f t="shared" si="27"/>
        <v>1</v>
      </c>
      <c r="AR19" s="104">
        <f t="shared" si="15"/>
        <v>1</v>
      </c>
      <c r="AS19" s="102">
        <v>25660.3</v>
      </c>
      <c r="AT19" s="92">
        <v>29118</v>
      </c>
      <c r="AU19" s="99">
        <f t="shared" si="10"/>
        <v>0.881252146438629</v>
      </c>
      <c r="AV19" s="100"/>
      <c r="AW19" s="101">
        <f t="shared" si="28"/>
        <v>1</v>
      </c>
      <c r="AX19" s="104">
        <f t="shared" si="11"/>
        <v>1</v>
      </c>
      <c r="AY19" s="105">
        <f t="shared" si="16"/>
        <v>6.5</v>
      </c>
    </row>
    <row r="20" spans="1:51" s="9" customFormat="1" ht="12.75">
      <c r="A20" s="88" t="s">
        <v>73</v>
      </c>
      <c r="B20" s="89">
        <v>0</v>
      </c>
      <c r="C20" s="89">
        <v>4190.80313</v>
      </c>
      <c r="D20" s="89">
        <v>0</v>
      </c>
      <c r="E20" s="90">
        <f t="shared" si="12"/>
        <v>0</v>
      </c>
      <c r="F20" s="91"/>
      <c r="G20" s="92">
        <f t="shared" si="24"/>
        <v>1</v>
      </c>
      <c r="H20" s="93">
        <f t="shared" si="0"/>
        <v>1</v>
      </c>
      <c r="I20" s="89">
        <v>0</v>
      </c>
      <c r="J20" s="94">
        <v>140352.2966</v>
      </c>
      <c r="K20" s="95">
        <v>96554.90791</v>
      </c>
      <c r="L20" s="89">
        <v>25489.046059999997</v>
      </c>
      <c r="M20" s="89">
        <v>0</v>
      </c>
      <c r="N20" s="90">
        <f t="shared" si="18"/>
        <v>0</v>
      </c>
      <c r="O20" s="91"/>
      <c r="P20" s="92">
        <f t="shared" si="25"/>
        <v>1</v>
      </c>
      <c r="Q20" s="93">
        <f t="shared" si="2"/>
        <v>1</v>
      </c>
      <c r="R20" s="96">
        <v>0</v>
      </c>
      <c r="S20" s="89">
        <v>140415.80871</v>
      </c>
      <c r="T20" s="97">
        <v>63369.33222</v>
      </c>
      <c r="U20" s="90">
        <f t="shared" si="3"/>
        <v>0</v>
      </c>
      <c r="V20" s="91"/>
      <c r="W20" s="92">
        <f t="shared" si="26"/>
        <v>1</v>
      </c>
      <c r="X20" s="93">
        <f t="shared" si="13"/>
        <v>1</v>
      </c>
      <c r="Y20" s="89">
        <v>63.51211</v>
      </c>
      <c r="Z20" s="98">
        <v>0</v>
      </c>
      <c r="AA20" s="98">
        <v>63.51211</v>
      </c>
      <c r="AB20" s="98">
        <v>0</v>
      </c>
      <c r="AC20" s="98">
        <f t="shared" si="5"/>
        <v>140352.2966</v>
      </c>
      <c r="AD20" s="98">
        <f t="shared" si="5"/>
        <v>96554.90791</v>
      </c>
      <c r="AE20" s="98">
        <f t="shared" si="5"/>
        <v>25489.046059999997</v>
      </c>
      <c r="AF20" s="98">
        <f t="shared" si="14"/>
        <v>18308.34263000001</v>
      </c>
      <c r="AG20" s="98">
        <f>AF20*5%</f>
        <v>915.4171315000006</v>
      </c>
      <c r="AH20" s="98">
        <f t="shared" si="23"/>
        <v>978.9292415000006</v>
      </c>
      <c r="AI20" s="99">
        <f t="shared" si="22"/>
        <v>0</v>
      </c>
      <c r="AJ20" s="91"/>
      <c r="AK20" s="101">
        <f t="shared" si="29"/>
        <v>1.5</v>
      </c>
      <c r="AL20" s="93">
        <f t="shared" si="8"/>
        <v>1.5</v>
      </c>
      <c r="AM20" s="102">
        <v>6996</v>
      </c>
      <c r="AN20" s="92">
        <v>9587</v>
      </c>
      <c r="AO20" s="103">
        <f t="shared" si="9"/>
        <v>0.729738187128403</v>
      </c>
      <c r="AP20" s="91"/>
      <c r="AQ20" s="101">
        <f t="shared" si="27"/>
        <v>1</v>
      </c>
      <c r="AR20" s="104">
        <f t="shared" si="15"/>
        <v>1</v>
      </c>
      <c r="AS20" s="102">
        <v>17977.1</v>
      </c>
      <c r="AT20" s="92">
        <v>24201</v>
      </c>
      <c r="AU20" s="99">
        <f t="shared" si="10"/>
        <v>0.7428246766662534</v>
      </c>
      <c r="AV20" s="91"/>
      <c r="AW20" s="101">
        <f t="shared" si="28"/>
        <v>1</v>
      </c>
      <c r="AX20" s="104">
        <f t="shared" si="11"/>
        <v>1</v>
      </c>
      <c r="AY20" s="105">
        <f t="shared" si="16"/>
        <v>6.5</v>
      </c>
    </row>
    <row r="21" spans="1:51" s="9" customFormat="1" ht="12.75">
      <c r="A21" s="88" t="s">
        <v>74</v>
      </c>
      <c r="B21" s="89">
        <v>0</v>
      </c>
      <c r="C21" s="89">
        <v>32460.752</v>
      </c>
      <c r="D21" s="89">
        <v>0</v>
      </c>
      <c r="E21" s="90">
        <f t="shared" si="12"/>
        <v>0</v>
      </c>
      <c r="F21" s="91"/>
      <c r="G21" s="92">
        <f t="shared" si="24"/>
        <v>1</v>
      </c>
      <c r="H21" s="93">
        <f t="shared" si="0"/>
        <v>1</v>
      </c>
      <c r="I21" s="89">
        <v>0</v>
      </c>
      <c r="J21" s="94">
        <v>416713.99293</v>
      </c>
      <c r="K21" s="95">
        <v>271399.17977</v>
      </c>
      <c r="L21" s="89">
        <v>71273.42109</v>
      </c>
      <c r="M21" s="89">
        <v>0</v>
      </c>
      <c r="N21" s="90">
        <f t="shared" si="18"/>
        <v>0</v>
      </c>
      <c r="O21" s="91"/>
      <c r="P21" s="92">
        <f t="shared" si="25"/>
        <v>1</v>
      </c>
      <c r="Q21" s="93">
        <f t="shared" si="2"/>
        <v>1</v>
      </c>
      <c r="R21" s="96">
        <v>0</v>
      </c>
      <c r="S21" s="89">
        <v>439385.66183999996</v>
      </c>
      <c r="T21" s="97">
        <v>214733.69163</v>
      </c>
      <c r="U21" s="90">
        <f t="shared" si="3"/>
        <v>0</v>
      </c>
      <c r="V21" s="91"/>
      <c r="W21" s="92">
        <f t="shared" si="26"/>
        <v>1</v>
      </c>
      <c r="X21" s="93">
        <f t="shared" si="13"/>
        <v>1</v>
      </c>
      <c r="Y21" s="89">
        <v>22671.66891</v>
      </c>
      <c r="Z21" s="98">
        <v>18412.573</v>
      </c>
      <c r="AA21" s="98">
        <v>4259.09591</v>
      </c>
      <c r="AB21" s="98">
        <v>0</v>
      </c>
      <c r="AC21" s="98">
        <f t="shared" si="5"/>
        <v>416713.99293</v>
      </c>
      <c r="AD21" s="98">
        <f t="shared" si="5"/>
        <v>271399.17977</v>
      </c>
      <c r="AE21" s="98">
        <f t="shared" si="5"/>
        <v>71273.42109</v>
      </c>
      <c r="AF21" s="98">
        <f t="shared" si="14"/>
        <v>74041.39207000002</v>
      </c>
      <c r="AG21" s="98">
        <f>AF21*10%</f>
        <v>7404.139207000002</v>
      </c>
      <c r="AH21" s="98">
        <f t="shared" si="23"/>
        <v>11663.235117000002</v>
      </c>
      <c r="AI21" s="99">
        <f t="shared" si="22"/>
        <v>0</v>
      </c>
      <c r="AJ21" s="100"/>
      <c r="AK21" s="101">
        <f t="shared" si="29"/>
        <v>1.5</v>
      </c>
      <c r="AL21" s="93">
        <f t="shared" si="8"/>
        <v>1.5</v>
      </c>
      <c r="AM21" s="102">
        <v>16007.5</v>
      </c>
      <c r="AN21" s="92">
        <v>16894</v>
      </c>
      <c r="AO21" s="103">
        <f t="shared" si="9"/>
        <v>0.9475257487865515</v>
      </c>
      <c r="AP21" s="100"/>
      <c r="AQ21" s="101">
        <f t="shared" si="27"/>
        <v>1</v>
      </c>
      <c r="AR21" s="104">
        <f t="shared" si="15"/>
        <v>1</v>
      </c>
      <c r="AS21" s="102">
        <v>36769.7</v>
      </c>
      <c r="AT21" s="92">
        <v>38668</v>
      </c>
      <c r="AU21" s="99">
        <f t="shared" si="10"/>
        <v>0.9509077273197475</v>
      </c>
      <c r="AV21" s="100"/>
      <c r="AW21" s="101">
        <f t="shared" si="28"/>
        <v>1</v>
      </c>
      <c r="AX21" s="104">
        <f t="shared" si="11"/>
        <v>1</v>
      </c>
      <c r="AY21" s="105">
        <f t="shared" si="16"/>
        <v>6.5</v>
      </c>
    </row>
    <row r="22" spans="1:51" s="9" customFormat="1" ht="12.75">
      <c r="A22" s="88" t="s">
        <v>75</v>
      </c>
      <c r="B22" s="89">
        <v>0</v>
      </c>
      <c r="C22" s="89">
        <v>1494.3323300000002</v>
      </c>
      <c r="D22" s="89">
        <v>0</v>
      </c>
      <c r="E22" s="90">
        <f t="shared" si="12"/>
        <v>0</v>
      </c>
      <c r="F22" s="91"/>
      <c r="G22" s="92">
        <f t="shared" si="24"/>
        <v>1</v>
      </c>
      <c r="H22" s="93">
        <f t="shared" si="0"/>
        <v>1</v>
      </c>
      <c r="I22" s="89">
        <v>0</v>
      </c>
      <c r="J22" s="94">
        <v>182612.55782</v>
      </c>
      <c r="K22" s="95">
        <v>138204.894</v>
      </c>
      <c r="L22" s="89">
        <v>30155.84984</v>
      </c>
      <c r="M22" s="89">
        <v>0</v>
      </c>
      <c r="N22" s="90">
        <f t="shared" si="18"/>
        <v>0</v>
      </c>
      <c r="O22" s="91"/>
      <c r="P22" s="92">
        <f t="shared" si="25"/>
        <v>1</v>
      </c>
      <c r="Q22" s="93">
        <f t="shared" si="2"/>
        <v>1</v>
      </c>
      <c r="R22" s="96">
        <v>0</v>
      </c>
      <c r="S22" s="89">
        <v>181838.92908</v>
      </c>
      <c r="T22" s="97">
        <v>88961.46498</v>
      </c>
      <c r="U22" s="90">
        <f t="shared" si="3"/>
        <v>0</v>
      </c>
      <c r="V22" s="91"/>
      <c r="W22" s="92">
        <f t="shared" si="26"/>
        <v>1</v>
      </c>
      <c r="X22" s="93">
        <f t="shared" si="13"/>
        <v>1</v>
      </c>
      <c r="Y22" s="89">
        <v>-773.62874</v>
      </c>
      <c r="Z22" s="98">
        <v>0</v>
      </c>
      <c r="AA22" s="98">
        <v>-773.62874</v>
      </c>
      <c r="AB22" s="98">
        <v>0</v>
      </c>
      <c r="AC22" s="98">
        <f t="shared" si="5"/>
        <v>182612.55782</v>
      </c>
      <c r="AD22" s="98">
        <f t="shared" si="5"/>
        <v>138204.894</v>
      </c>
      <c r="AE22" s="98">
        <f t="shared" si="5"/>
        <v>30155.84984</v>
      </c>
      <c r="AF22" s="98">
        <f t="shared" si="14"/>
        <v>14251.813979999988</v>
      </c>
      <c r="AG22" s="98">
        <f>AF22*5%</f>
        <v>712.5906989999994</v>
      </c>
      <c r="AH22" s="98">
        <f t="shared" si="23"/>
        <v>712.5906989999994</v>
      </c>
      <c r="AI22" s="99">
        <f t="shared" si="22"/>
        <v>0</v>
      </c>
      <c r="AJ22" s="91"/>
      <c r="AK22" s="101">
        <f t="shared" si="29"/>
        <v>1.5</v>
      </c>
      <c r="AL22" s="93">
        <f t="shared" si="8"/>
        <v>1.5</v>
      </c>
      <c r="AM22" s="102">
        <v>9750.9</v>
      </c>
      <c r="AN22" s="92">
        <v>10485</v>
      </c>
      <c r="AO22" s="103">
        <f t="shared" si="9"/>
        <v>0.9299856938483547</v>
      </c>
      <c r="AP22" s="91"/>
      <c r="AQ22" s="101">
        <f t="shared" si="27"/>
        <v>1</v>
      </c>
      <c r="AR22" s="104">
        <f t="shared" si="15"/>
        <v>1</v>
      </c>
      <c r="AS22" s="102">
        <v>24785.7</v>
      </c>
      <c r="AT22" s="92">
        <v>26192</v>
      </c>
      <c r="AU22" s="99">
        <f t="shared" si="10"/>
        <v>0.9463080329871717</v>
      </c>
      <c r="AV22" s="91"/>
      <c r="AW22" s="101">
        <f t="shared" si="28"/>
        <v>1</v>
      </c>
      <c r="AX22" s="104">
        <f t="shared" si="11"/>
        <v>1</v>
      </c>
      <c r="AY22" s="105">
        <f t="shared" si="16"/>
        <v>6.5</v>
      </c>
    </row>
    <row r="23" spans="1:51" s="9" customFormat="1" ht="12.75">
      <c r="A23" s="88" t="s">
        <v>76</v>
      </c>
      <c r="B23" s="89">
        <v>0</v>
      </c>
      <c r="C23" s="89">
        <v>4510.6235</v>
      </c>
      <c r="D23" s="89">
        <v>0</v>
      </c>
      <c r="E23" s="90">
        <f t="shared" si="12"/>
        <v>0</v>
      </c>
      <c r="F23" s="91"/>
      <c r="G23" s="92">
        <f t="shared" si="24"/>
        <v>1</v>
      </c>
      <c r="H23" s="93">
        <f t="shared" si="0"/>
        <v>1</v>
      </c>
      <c r="I23" s="89">
        <v>0</v>
      </c>
      <c r="J23" s="94">
        <v>388784.79851999995</v>
      </c>
      <c r="K23" s="95">
        <v>251169.76407</v>
      </c>
      <c r="L23" s="89">
        <v>80509.03845000001</v>
      </c>
      <c r="M23" s="89">
        <v>0</v>
      </c>
      <c r="N23" s="90">
        <f t="shared" si="18"/>
        <v>0</v>
      </c>
      <c r="O23" s="91"/>
      <c r="P23" s="92">
        <f t="shared" si="25"/>
        <v>1</v>
      </c>
      <c r="Q23" s="93">
        <f t="shared" si="2"/>
        <v>1</v>
      </c>
      <c r="R23" s="96">
        <v>0</v>
      </c>
      <c r="S23" s="89">
        <v>387560.70267</v>
      </c>
      <c r="T23" s="97">
        <v>204839.18637</v>
      </c>
      <c r="U23" s="90">
        <f t="shared" si="3"/>
        <v>0</v>
      </c>
      <c r="V23" s="91"/>
      <c r="W23" s="92">
        <f t="shared" si="26"/>
        <v>1</v>
      </c>
      <c r="X23" s="93">
        <f t="shared" si="13"/>
        <v>1</v>
      </c>
      <c r="Y23" s="89">
        <v>-1224.0958500000002</v>
      </c>
      <c r="Z23" s="98">
        <v>0</v>
      </c>
      <c r="AA23" s="98">
        <v>-1224.0958500000002</v>
      </c>
      <c r="AB23" s="98">
        <v>0</v>
      </c>
      <c r="AC23" s="98">
        <f t="shared" si="5"/>
        <v>388784.79851999995</v>
      </c>
      <c r="AD23" s="98">
        <f t="shared" si="5"/>
        <v>251169.76407</v>
      </c>
      <c r="AE23" s="98">
        <f t="shared" si="5"/>
        <v>80509.03845000001</v>
      </c>
      <c r="AF23" s="98">
        <f t="shared" si="14"/>
        <v>57105.99599999994</v>
      </c>
      <c r="AG23" s="98">
        <f>AF23*10%</f>
        <v>5710.599599999994</v>
      </c>
      <c r="AH23" s="98">
        <f t="shared" si="23"/>
        <v>5710.599599999994</v>
      </c>
      <c r="AI23" s="99">
        <f t="shared" si="22"/>
        <v>0</v>
      </c>
      <c r="AJ23" s="100"/>
      <c r="AK23" s="101">
        <f t="shared" si="29"/>
        <v>1.5</v>
      </c>
      <c r="AL23" s="93">
        <f t="shared" si="8"/>
        <v>1.5</v>
      </c>
      <c r="AM23" s="102">
        <v>15911.7</v>
      </c>
      <c r="AN23" s="92">
        <v>16894</v>
      </c>
      <c r="AO23" s="103">
        <f t="shared" si="9"/>
        <v>0.9418550964839588</v>
      </c>
      <c r="AP23" s="100"/>
      <c r="AQ23" s="101">
        <f t="shared" si="27"/>
        <v>1</v>
      </c>
      <c r="AR23" s="104">
        <f t="shared" si="15"/>
        <v>1</v>
      </c>
      <c r="AS23" s="102">
        <v>36332.2</v>
      </c>
      <c r="AT23" s="92">
        <v>38668</v>
      </c>
      <c r="AU23" s="99">
        <f t="shared" si="10"/>
        <v>0.9395934622944035</v>
      </c>
      <c r="AV23" s="100"/>
      <c r="AW23" s="101">
        <f t="shared" si="28"/>
        <v>1</v>
      </c>
      <c r="AX23" s="104">
        <f t="shared" si="11"/>
        <v>1</v>
      </c>
      <c r="AY23" s="105">
        <f t="shared" si="16"/>
        <v>6.5</v>
      </c>
    </row>
    <row r="24" spans="1:51" s="9" customFormat="1" ht="12.75">
      <c r="A24" s="88" t="s">
        <v>77</v>
      </c>
      <c r="B24" s="89">
        <v>0</v>
      </c>
      <c r="C24" s="89">
        <v>11117.44172</v>
      </c>
      <c r="D24" s="89">
        <v>0</v>
      </c>
      <c r="E24" s="90">
        <f t="shared" si="12"/>
        <v>0</v>
      </c>
      <c r="F24" s="91"/>
      <c r="G24" s="92">
        <f>IF(E24&lt;=1.05,1,0)</f>
        <v>1</v>
      </c>
      <c r="H24" s="93">
        <f t="shared" si="0"/>
        <v>1</v>
      </c>
      <c r="I24" s="89">
        <v>0</v>
      </c>
      <c r="J24" s="94">
        <v>379597.45443</v>
      </c>
      <c r="K24" s="95">
        <v>322809.25229000003</v>
      </c>
      <c r="L24" s="89">
        <v>34926.73814</v>
      </c>
      <c r="M24" s="89">
        <v>0</v>
      </c>
      <c r="N24" s="90">
        <f t="shared" si="18"/>
        <v>0</v>
      </c>
      <c r="O24" s="91"/>
      <c r="P24" s="92">
        <f>IF(N24&lt;=0.5,1,0)</f>
        <v>1</v>
      </c>
      <c r="Q24" s="93">
        <f t="shared" si="2"/>
        <v>1</v>
      </c>
      <c r="R24" s="96">
        <v>0</v>
      </c>
      <c r="S24" s="89">
        <v>386993.26431</v>
      </c>
      <c r="T24" s="97">
        <v>134797.56023</v>
      </c>
      <c r="U24" s="90">
        <f t="shared" si="3"/>
        <v>0</v>
      </c>
      <c r="V24" s="91"/>
      <c r="W24" s="92">
        <f>IF(U24&lt;=0.15,1,0)</f>
        <v>1</v>
      </c>
      <c r="X24" s="93">
        <f t="shared" si="13"/>
        <v>1</v>
      </c>
      <c r="Y24" s="89">
        <v>7395.80988</v>
      </c>
      <c r="Z24" s="98">
        <v>0</v>
      </c>
      <c r="AA24" s="98">
        <v>7395.80988</v>
      </c>
      <c r="AB24" s="98">
        <v>0</v>
      </c>
      <c r="AC24" s="98">
        <f t="shared" si="5"/>
        <v>379597.45443</v>
      </c>
      <c r="AD24" s="98">
        <f t="shared" si="5"/>
        <v>322809.25229000003</v>
      </c>
      <c r="AE24" s="98">
        <f t="shared" si="5"/>
        <v>34926.73814</v>
      </c>
      <c r="AF24" s="98">
        <f t="shared" si="14"/>
        <v>21861.46399999995</v>
      </c>
      <c r="AG24" s="98">
        <f aca="true" t="shared" si="30" ref="AG24:AG32">AF24*5%</f>
        <v>1093.0731999999975</v>
      </c>
      <c r="AH24" s="98">
        <f t="shared" si="23"/>
        <v>8488.883079999998</v>
      </c>
      <c r="AI24" s="99">
        <f t="shared" si="22"/>
        <v>0</v>
      </c>
      <c r="AJ24" s="100"/>
      <c r="AK24" s="101">
        <f t="shared" si="29"/>
        <v>1.5</v>
      </c>
      <c r="AL24" s="93">
        <f t="shared" si="8"/>
        <v>1.5</v>
      </c>
      <c r="AM24" s="102">
        <v>8996</v>
      </c>
      <c r="AN24" s="92">
        <v>11794</v>
      </c>
      <c r="AO24" s="103">
        <f t="shared" si="9"/>
        <v>0.762760725792776</v>
      </c>
      <c r="AP24" s="100"/>
      <c r="AQ24" s="101">
        <f t="shared" si="27"/>
        <v>1</v>
      </c>
      <c r="AR24" s="104">
        <f>AP24+AQ24</f>
        <v>1</v>
      </c>
      <c r="AS24" s="102">
        <v>23588.9</v>
      </c>
      <c r="AT24" s="92">
        <v>29118</v>
      </c>
      <c r="AU24" s="99">
        <f t="shared" si="10"/>
        <v>0.8101140188199739</v>
      </c>
      <c r="AV24" s="100"/>
      <c r="AW24" s="101">
        <f t="shared" si="28"/>
        <v>1</v>
      </c>
      <c r="AX24" s="104">
        <f t="shared" si="11"/>
        <v>1</v>
      </c>
      <c r="AY24" s="105">
        <f t="shared" si="16"/>
        <v>6.5</v>
      </c>
    </row>
    <row r="25" spans="1:51" s="9" customFormat="1" ht="12.75">
      <c r="A25" s="88" t="s">
        <v>78</v>
      </c>
      <c r="B25" s="89">
        <v>0</v>
      </c>
      <c r="C25" s="89">
        <v>832.75344</v>
      </c>
      <c r="D25" s="89">
        <v>403.206</v>
      </c>
      <c r="E25" s="90">
        <f t="shared" si="12"/>
        <v>0</v>
      </c>
      <c r="F25" s="91"/>
      <c r="G25" s="92">
        <f aca="true" t="shared" si="31" ref="G25:G38">IF(E25&lt;=1.05,1,0)</f>
        <v>1</v>
      </c>
      <c r="H25" s="93">
        <f t="shared" si="0"/>
        <v>1</v>
      </c>
      <c r="I25" s="89">
        <v>0</v>
      </c>
      <c r="J25" s="94">
        <v>427443.74909</v>
      </c>
      <c r="K25" s="95">
        <v>308732.09074</v>
      </c>
      <c r="L25" s="89">
        <v>81021.43273</v>
      </c>
      <c r="M25" s="89">
        <v>0</v>
      </c>
      <c r="N25" s="90">
        <f t="shared" si="18"/>
        <v>0</v>
      </c>
      <c r="O25" s="91"/>
      <c r="P25" s="92">
        <f>IF(N25&lt;=0.5,1,0)</f>
        <v>1</v>
      </c>
      <c r="Q25" s="93">
        <f>O25+P25</f>
        <v>1</v>
      </c>
      <c r="R25" s="96">
        <v>6.7</v>
      </c>
      <c r="S25" s="89">
        <v>422462.01407</v>
      </c>
      <c r="T25" s="97">
        <v>227435.15425999998</v>
      </c>
      <c r="U25" s="90">
        <f t="shared" si="3"/>
        <v>3.435424231578823E-05</v>
      </c>
      <c r="V25" s="91"/>
      <c r="W25" s="92">
        <f aca="true" t="shared" si="32" ref="W25:W38">IF(U25&lt;=0.15,1,0)</f>
        <v>1</v>
      </c>
      <c r="X25" s="93">
        <f t="shared" si="13"/>
        <v>1</v>
      </c>
      <c r="Y25" s="89">
        <v>-4981.735019999999</v>
      </c>
      <c r="Z25" s="98">
        <v>0</v>
      </c>
      <c r="AA25" s="98">
        <v>-4578.52902</v>
      </c>
      <c r="AB25" s="98">
        <v>0</v>
      </c>
      <c r="AC25" s="98">
        <f t="shared" si="5"/>
        <v>427443.74909</v>
      </c>
      <c r="AD25" s="98">
        <f t="shared" si="5"/>
        <v>308732.09074</v>
      </c>
      <c r="AE25" s="98">
        <f t="shared" si="5"/>
        <v>81021.43273</v>
      </c>
      <c r="AF25" s="98">
        <f t="shared" si="14"/>
        <v>37690.22561999998</v>
      </c>
      <c r="AG25" s="98">
        <f>AF25*10%</f>
        <v>3769.0225619999983</v>
      </c>
      <c r="AH25" s="98">
        <f t="shared" si="23"/>
        <v>3769.0225619999983</v>
      </c>
      <c r="AI25" s="99">
        <f t="shared" si="22"/>
        <v>0</v>
      </c>
      <c r="AJ25" s="100"/>
      <c r="AK25" s="101">
        <f t="shared" si="29"/>
        <v>1.5</v>
      </c>
      <c r="AL25" s="93">
        <f t="shared" si="8"/>
        <v>1.5</v>
      </c>
      <c r="AM25" s="102">
        <v>13674</v>
      </c>
      <c r="AN25" s="92">
        <v>13953</v>
      </c>
      <c r="AO25" s="103">
        <f t="shared" si="9"/>
        <v>0.9800043001505052</v>
      </c>
      <c r="AP25" s="100"/>
      <c r="AQ25" s="101">
        <f t="shared" si="27"/>
        <v>1</v>
      </c>
      <c r="AR25" s="104">
        <f t="shared" si="15"/>
        <v>1</v>
      </c>
      <c r="AS25" s="102">
        <v>32594.9</v>
      </c>
      <c r="AT25" s="92">
        <v>33128</v>
      </c>
      <c r="AU25" s="99">
        <f t="shared" si="10"/>
        <v>0.9839078724945666</v>
      </c>
      <c r="AV25" s="100"/>
      <c r="AW25" s="101">
        <f t="shared" si="28"/>
        <v>1</v>
      </c>
      <c r="AX25" s="104">
        <f t="shared" si="11"/>
        <v>1</v>
      </c>
      <c r="AY25" s="105">
        <f t="shared" si="16"/>
        <v>6.5</v>
      </c>
    </row>
    <row r="26" spans="1:51" s="9" customFormat="1" ht="12.75">
      <c r="A26" s="88" t="s">
        <v>79</v>
      </c>
      <c r="B26" s="89">
        <v>0</v>
      </c>
      <c r="C26" s="89">
        <v>5838.4046</v>
      </c>
      <c r="D26" s="89">
        <v>0</v>
      </c>
      <c r="E26" s="90">
        <f t="shared" si="12"/>
        <v>0</v>
      </c>
      <c r="F26" s="91"/>
      <c r="G26" s="92">
        <f t="shared" si="31"/>
        <v>1</v>
      </c>
      <c r="H26" s="93">
        <f t="shared" si="0"/>
        <v>1</v>
      </c>
      <c r="I26" s="89">
        <v>0</v>
      </c>
      <c r="J26" s="94">
        <v>266042.64505</v>
      </c>
      <c r="K26" s="95">
        <v>199453.60791999998</v>
      </c>
      <c r="L26" s="89">
        <v>33015.536</v>
      </c>
      <c r="M26" s="89">
        <v>0</v>
      </c>
      <c r="N26" s="90">
        <f t="shared" si="18"/>
        <v>0</v>
      </c>
      <c r="O26" s="91"/>
      <c r="P26" s="92">
        <f aca="true" t="shared" si="33" ref="P26:P38">IF(N26&lt;=0.5,1,0)</f>
        <v>1</v>
      </c>
      <c r="Q26" s="93">
        <f t="shared" si="2"/>
        <v>1</v>
      </c>
      <c r="R26" s="96">
        <v>0</v>
      </c>
      <c r="S26" s="89">
        <v>266886.1023</v>
      </c>
      <c r="T26" s="97">
        <v>153727.82591999997</v>
      </c>
      <c r="U26" s="90">
        <f t="shared" si="3"/>
        <v>0</v>
      </c>
      <c r="V26" s="91"/>
      <c r="W26" s="92">
        <f t="shared" si="32"/>
        <v>1</v>
      </c>
      <c r="X26" s="93">
        <f t="shared" si="13"/>
        <v>1</v>
      </c>
      <c r="Y26" s="89">
        <v>843.45725</v>
      </c>
      <c r="Z26" s="98">
        <v>0</v>
      </c>
      <c r="AA26" s="98">
        <v>843.45725</v>
      </c>
      <c r="AB26" s="98">
        <v>0</v>
      </c>
      <c r="AC26" s="98">
        <f t="shared" si="5"/>
        <v>266042.64505</v>
      </c>
      <c r="AD26" s="98">
        <f t="shared" si="5"/>
        <v>199453.60791999998</v>
      </c>
      <c r="AE26" s="98">
        <f t="shared" si="5"/>
        <v>33015.536</v>
      </c>
      <c r="AF26" s="98">
        <f t="shared" si="14"/>
        <v>33573.50113000001</v>
      </c>
      <c r="AG26" s="98">
        <f t="shared" si="30"/>
        <v>1678.6750565000007</v>
      </c>
      <c r="AH26" s="98">
        <f t="shared" si="23"/>
        <v>2522.1323065000006</v>
      </c>
      <c r="AI26" s="99">
        <f t="shared" si="22"/>
        <v>0</v>
      </c>
      <c r="AJ26" s="91"/>
      <c r="AK26" s="101">
        <f t="shared" si="29"/>
        <v>1.5</v>
      </c>
      <c r="AL26" s="93">
        <f t="shared" si="8"/>
        <v>1.5</v>
      </c>
      <c r="AM26" s="102">
        <v>10350</v>
      </c>
      <c r="AN26" s="92">
        <v>11047</v>
      </c>
      <c r="AO26" s="103">
        <f t="shared" si="9"/>
        <v>0.9369059473160134</v>
      </c>
      <c r="AP26" s="91"/>
      <c r="AQ26" s="101">
        <f t="shared" si="27"/>
        <v>1</v>
      </c>
      <c r="AR26" s="104">
        <f t="shared" si="15"/>
        <v>1</v>
      </c>
      <c r="AS26" s="102">
        <v>24827</v>
      </c>
      <c r="AT26" s="92">
        <v>26142</v>
      </c>
      <c r="AU26" s="99">
        <f t="shared" si="10"/>
        <v>0.9496978042995945</v>
      </c>
      <c r="AV26" s="91"/>
      <c r="AW26" s="101">
        <f t="shared" si="28"/>
        <v>1</v>
      </c>
      <c r="AX26" s="104">
        <f t="shared" si="11"/>
        <v>1</v>
      </c>
      <c r="AY26" s="105">
        <f t="shared" si="16"/>
        <v>6.5</v>
      </c>
    </row>
    <row r="27" spans="1:51" s="9" customFormat="1" ht="12.75">
      <c r="A27" s="88" t="s">
        <v>80</v>
      </c>
      <c r="B27" s="89">
        <v>0</v>
      </c>
      <c r="C27" s="89">
        <v>421.297</v>
      </c>
      <c r="D27" s="89">
        <v>0</v>
      </c>
      <c r="E27" s="90">
        <f t="shared" si="12"/>
        <v>0</v>
      </c>
      <c r="F27" s="91"/>
      <c r="G27" s="92">
        <f t="shared" si="31"/>
        <v>1</v>
      </c>
      <c r="H27" s="93">
        <f t="shared" si="0"/>
        <v>1</v>
      </c>
      <c r="I27" s="89">
        <v>0</v>
      </c>
      <c r="J27" s="94">
        <v>306932.49847000005</v>
      </c>
      <c r="K27" s="95">
        <v>220277.84216</v>
      </c>
      <c r="L27" s="89">
        <v>51044.16489</v>
      </c>
      <c r="M27" s="89">
        <v>0</v>
      </c>
      <c r="N27" s="90">
        <f t="shared" si="18"/>
        <v>0</v>
      </c>
      <c r="O27" s="91"/>
      <c r="P27" s="92">
        <f t="shared" si="33"/>
        <v>1</v>
      </c>
      <c r="Q27" s="93">
        <f t="shared" si="2"/>
        <v>1</v>
      </c>
      <c r="R27" s="96">
        <v>0</v>
      </c>
      <c r="S27" s="89">
        <v>302573.60527</v>
      </c>
      <c r="T27" s="97">
        <v>145323.18599</v>
      </c>
      <c r="U27" s="90">
        <f t="shared" si="3"/>
        <v>0</v>
      </c>
      <c r="V27" s="91"/>
      <c r="W27" s="92">
        <f t="shared" si="32"/>
        <v>1</v>
      </c>
      <c r="X27" s="93">
        <f t="shared" si="13"/>
        <v>1</v>
      </c>
      <c r="Y27" s="89">
        <v>-4358.8932</v>
      </c>
      <c r="Z27" s="98">
        <v>0</v>
      </c>
      <c r="AA27" s="98">
        <v>-4358.8932</v>
      </c>
      <c r="AB27" s="98">
        <v>0</v>
      </c>
      <c r="AC27" s="98">
        <f t="shared" si="5"/>
        <v>306932.49847000005</v>
      </c>
      <c r="AD27" s="98">
        <f t="shared" si="5"/>
        <v>220277.84216</v>
      </c>
      <c r="AE27" s="98">
        <f t="shared" si="5"/>
        <v>51044.16489</v>
      </c>
      <c r="AF27" s="98">
        <f t="shared" si="14"/>
        <v>35610.49142000005</v>
      </c>
      <c r="AG27" s="98">
        <f t="shared" si="30"/>
        <v>1780.5245710000027</v>
      </c>
      <c r="AH27" s="98">
        <f t="shared" si="23"/>
        <v>1780.5245710000027</v>
      </c>
      <c r="AI27" s="99">
        <f t="shared" si="22"/>
        <v>0</v>
      </c>
      <c r="AJ27" s="91"/>
      <c r="AK27" s="101">
        <f t="shared" si="29"/>
        <v>1.5</v>
      </c>
      <c r="AL27" s="93">
        <f t="shared" si="8"/>
        <v>1.5</v>
      </c>
      <c r="AM27" s="102">
        <v>10593.4</v>
      </c>
      <c r="AN27" s="92">
        <v>11794</v>
      </c>
      <c r="AO27" s="103">
        <f t="shared" si="9"/>
        <v>0.8982024758351704</v>
      </c>
      <c r="AP27" s="91"/>
      <c r="AQ27" s="101">
        <f t="shared" si="27"/>
        <v>1</v>
      </c>
      <c r="AR27" s="104">
        <f t="shared" si="15"/>
        <v>1</v>
      </c>
      <c r="AS27" s="102">
        <v>25937</v>
      </c>
      <c r="AT27" s="92">
        <v>29118</v>
      </c>
      <c r="AU27" s="99">
        <f t="shared" si="10"/>
        <v>0.8907548595370561</v>
      </c>
      <c r="AV27" s="91"/>
      <c r="AW27" s="101">
        <f t="shared" si="28"/>
        <v>1</v>
      </c>
      <c r="AX27" s="104">
        <f t="shared" si="11"/>
        <v>1</v>
      </c>
      <c r="AY27" s="105">
        <f t="shared" si="16"/>
        <v>6.5</v>
      </c>
    </row>
    <row r="28" spans="1:51" s="9" customFormat="1" ht="12.75">
      <c r="A28" s="88" t="s">
        <v>81</v>
      </c>
      <c r="B28" s="89">
        <v>0</v>
      </c>
      <c r="C28" s="89">
        <v>2232.81546</v>
      </c>
      <c r="D28" s="89">
        <v>0</v>
      </c>
      <c r="E28" s="90">
        <f t="shared" si="12"/>
        <v>0</v>
      </c>
      <c r="F28" s="91"/>
      <c r="G28" s="92">
        <f t="shared" si="31"/>
        <v>1</v>
      </c>
      <c r="H28" s="93">
        <f t="shared" si="0"/>
        <v>1</v>
      </c>
      <c r="I28" s="89">
        <v>0</v>
      </c>
      <c r="J28" s="94">
        <v>226147.59214</v>
      </c>
      <c r="K28" s="95">
        <v>181042.77512</v>
      </c>
      <c r="L28" s="89">
        <v>22668.39628</v>
      </c>
      <c r="M28" s="89">
        <v>0</v>
      </c>
      <c r="N28" s="90">
        <f t="shared" si="18"/>
        <v>0</v>
      </c>
      <c r="O28" s="91"/>
      <c r="P28" s="92">
        <f t="shared" si="33"/>
        <v>1</v>
      </c>
      <c r="Q28" s="93">
        <f t="shared" si="2"/>
        <v>1</v>
      </c>
      <c r="R28" s="96">
        <v>0</v>
      </c>
      <c r="S28" s="89">
        <v>225921.35177</v>
      </c>
      <c r="T28" s="97">
        <v>108936.44231</v>
      </c>
      <c r="U28" s="90">
        <f t="shared" si="3"/>
        <v>0</v>
      </c>
      <c r="V28" s="91"/>
      <c r="W28" s="92">
        <f t="shared" si="32"/>
        <v>1</v>
      </c>
      <c r="X28" s="93">
        <f t="shared" si="13"/>
        <v>1</v>
      </c>
      <c r="Y28" s="89">
        <v>-226.24036999999998</v>
      </c>
      <c r="Z28" s="98">
        <v>0</v>
      </c>
      <c r="AA28" s="98">
        <v>-226.24036999999998</v>
      </c>
      <c r="AB28" s="98">
        <v>0</v>
      </c>
      <c r="AC28" s="98">
        <f t="shared" si="5"/>
        <v>226147.59214</v>
      </c>
      <c r="AD28" s="98">
        <f t="shared" si="5"/>
        <v>181042.77512</v>
      </c>
      <c r="AE28" s="98">
        <f t="shared" si="5"/>
        <v>22668.39628</v>
      </c>
      <c r="AF28" s="98">
        <f t="shared" si="14"/>
        <v>22436.420739999987</v>
      </c>
      <c r="AG28" s="98">
        <f t="shared" si="30"/>
        <v>1121.8210369999995</v>
      </c>
      <c r="AH28" s="98">
        <f t="shared" si="23"/>
        <v>1121.8210369999995</v>
      </c>
      <c r="AI28" s="99">
        <f t="shared" si="22"/>
        <v>0</v>
      </c>
      <c r="AJ28" s="91"/>
      <c r="AK28" s="101">
        <f t="shared" si="29"/>
        <v>1.5</v>
      </c>
      <c r="AL28" s="93">
        <f t="shared" si="8"/>
        <v>1.5</v>
      </c>
      <c r="AM28" s="102">
        <v>8354.2</v>
      </c>
      <c r="AN28" s="92">
        <v>10485</v>
      </c>
      <c r="AO28" s="103">
        <f t="shared" si="9"/>
        <v>0.7967763471626134</v>
      </c>
      <c r="AP28" s="91"/>
      <c r="AQ28" s="101">
        <f t="shared" si="27"/>
        <v>1</v>
      </c>
      <c r="AR28" s="104">
        <f t="shared" si="15"/>
        <v>1</v>
      </c>
      <c r="AS28" s="102">
        <v>22857.3</v>
      </c>
      <c r="AT28" s="92">
        <v>26192</v>
      </c>
      <c r="AU28" s="99">
        <f t="shared" si="10"/>
        <v>0.8726824984728161</v>
      </c>
      <c r="AV28" s="91"/>
      <c r="AW28" s="101">
        <f t="shared" si="28"/>
        <v>1</v>
      </c>
      <c r="AX28" s="104">
        <f t="shared" si="11"/>
        <v>1</v>
      </c>
      <c r="AY28" s="105">
        <f t="shared" si="16"/>
        <v>6.5</v>
      </c>
    </row>
    <row r="29" spans="1:51" s="9" customFormat="1" ht="12.75">
      <c r="A29" s="88" t="s">
        <v>82</v>
      </c>
      <c r="B29" s="89">
        <v>0</v>
      </c>
      <c r="C29" s="89">
        <v>5983.52948</v>
      </c>
      <c r="D29" s="89">
        <v>0</v>
      </c>
      <c r="E29" s="90">
        <f t="shared" si="12"/>
        <v>0</v>
      </c>
      <c r="F29" s="91"/>
      <c r="G29" s="92">
        <f t="shared" si="31"/>
        <v>1</v>
      </c>
      <c r="H29" s="93">
        <f t="shared" si="0"/>
        <v>1</v>
      </c>
      <c r="I29" s="89">
        <v>0</v>
      </c>
      <c r="J29" s="94">
        <v>265638.83865</v>
      </c>
      <c r="K29" s="95">
        <v>193251.77576</v>
      </c>
      <c r="L29" s="89">
        <v>41993.998530000004</v>
      </c>
      <c r="M29" s="89">
        <v>0</v>
      </c>
      <c r="N29" s="90">
        <f t="shared" si="18"/>
        <v>0</v>
      </c>
      <c r="O29" s="91"/>
      <c r="P29" s="92">
        <f t="shared" si="33"/>
        <v>1</v>
      </c>
      <c r="Q29" s="93">
        <f t="shared" si="2"/>
        <v>1</v>
      </c>
      <c r="R29" s="96">
        <v>0</v>
      </c>
      <c r="S29" s="89">
        <v>257884.84573</v>
      </c>
      <c r="T29" s="97">
        <v>126356.1547</v>
      </c>
      <c r="U29" s="90">
        <f t="shared" si="3"/>
        <v>0</v>
      </c>
      <c r="V29" s="91"/>
      <c r="W29" s="92">
        <f t="shared" si="32"/>
        <v>1</v>
      </c>
      <c r="X29" s="93">
        <f t="shared" si="13"/>
        <v>1</v>
      </c>
      <c r="Y29" s="89">
        <v>-7753.99292</v>
      </c>
      <c r="Z29" s="98">
        <v>0</v>
      </c>
      <c r="AA29" s="98">
        <v>-7753.99292</v>
      </c>
      <c r="AB29" s="98">
        <v>0</v>
      </c>
      <c r="AC29" s="98">
        <f t="shared" si="5"/>
        <v>265638.83865</v>
      </c>
      <c r="AD29" s="98">
        <f t="shared" si="5"/>
        <v>193251.77576</v>
      </c>
      <c r="AE29" s="98">
        <f t="shared" si="5"/>
        <v>41993.998530000004</v>
      </c>
      <c r="AF29" s="98">
        <f t="shared" si="14"/>
        <v>30393.064359999997</v>
      </c>
      <c r="AG29" s="98">
        <f t="shared" si="30"/>
        <v>1519.653218</v>
      </c>
      <c r="AH29" s="98">
        <f t="shared" si="23"/>
        <v>1519.653218</v>
      </c>
      <c r="AI29" s="99">
        <f t="shared" si="22"/>
        <v>0</v>
      </c>
      <c r="AJ29" s="91"/>
      <c r="AK29" s="101">
        <f t="shared" si="29"/>
        <v>1.5</v>
      </c>
      <c r="AL29" s="93">
        <f t="shared" si="8"/>
        <v>1.5</v>
      </c>
      <c r="AM29" s="102">
        <v>10630</v>
      </c>
      <c r="AN29" s="92">
        <v>11794</v>
      </c>
      <c r="AO29" s="103">
        <f t="shared" si="9"/>
        <v>0.9013057486857724</v>
      </c>
      <c r="AP29" s="91"/>
      <c r="AQ29" s="101">
        <f t="shared" si="27"/>
        <v>1</v>
      </c>
      <c r="AR29" s="104">
        <f t="shared" si="15"/>
        <v>1</v>
      </c>
      <c r="AS29" s="102">
        <v>26417.7</v>
      </c>
      <c r="AT29" s="92">
        <v>29118</v>
      </c>
      <c r="AU29" s="99">
        <f t="shared" si="10"/>
        <v>0.9072635483206264</v>
      </c>
      <c r="AV29" s="91"/>
      <c r="AW29" s="101">
        <f t="shared" si="28"/>
        <v>1</v>
      </c>
      <c r="AX29" s="104">
        <f t="shared" si="11"/>
        <v>1</v>
      </c>
      <c r="AY29" s="105">
        <f t="shared" si="16"/>
        <v>6.5</v>
      </c>
    </row>
    <row r="30" spans="1:51" s="9" customFormat="1" ht="12.75">
      <c r="A30" s="88" t="s">
        <v>83</v>
      </c>
      <c r="B30" s="89">
        <v>0</v>
      </c>
      <c r="C30" s="89">
        <v>21288.66675</v>
      </c>
      <c r="D30" s="89">
        <v>0</v>
      </c>
      <c r="E30" s="90">
        <f t="shared" si="12"/>
        <v>0</v>
      </c>
      <c r="F30" s="91"/>
      <c r="G30" s="92">
        <f t="shared" si="31"/>
        <v>1</v>
      </c>
      <c r="H30" s="93">
        <f t="shared" si="0"/>
        <v>1</v>
      </c>
      <c r="I30" s="89">
        <v>0</v>
      </c>
      <c r="J30" s="94">
        <v>331823.71931</v>
      </c>
      <c r="K30" s="95">
        <v>226975.86393000002</v>
      </c>
      <c r="L30" s="89">
        <v>57534.2032</v>
      </c>
      <c r="M30" s="89">
        <v>0</v>
      </c>
      <c r="N30" s="90">
        <f t="shared" si="18"/>
        <v>0</v>
      </c>
      <c r="O30" s="91"/>
      <c r="P30" s="92">
        <f>IF(N30&lt;=0.5,1,0)</f>
        <v>1</v>
      </c>
      <c r="Q30" s="93">
        <f>O30+P30</f>
        <v>1</v>
      </c>
      <c r="R30" s="96">
        <v>0</v>
      </c>
      <c r="S30" s="89">
        <v>333517.47799</v>
      </c>
      <c r="T30" s="97">
        <v>172373.40899</v>
      </c>
      <c r="U30" s="90">
        <f t="shared" si="3"/>
        <v>0</v>
      </c>
      <c r="V30" s="91"/>
      <c r="W30" s="92">
        <f t="shared" si="32"/>
        <v>1</v>
      </c>
      <c r="X30" s="93">
        <f t="shared" si="13"/>
        <v>1</v>
      </c>
      <c r="Y30" s="89">
        <v>1693.75868</v>
      </c>
      <c r="Z30" s="98">
        <v>0</v>
      </c>
      <c r="AA30" s="98">
        <v>1693.75868</v>
      </c>
      <c r="AB30" s="98">
        <v>0</v>
      </c>
      <c r="AC30" s="98">
        <f t="shared" si="5"/>
        <v>331823.71931</v>
      </c>
      <c r="AD30" s="98">
        <f t="shared" si="5"/>
        <v>226975.86393000002</v>
      </c>
      <c r="AE30" s="98">
        <f t="shared" si="5"/>
        <v>57534.2032</v>
      </c>
      <c r="AF30" s="98">
        <f t="shared" si="14"/>
        <v>47313.65217999999</v>
      </c>
      <c r="AG30" s="98">
        <f>AF30*10%</f>
        <v>4731.365217999999</v>
      </c>
      <c r="AH30" s="98">
        <f t="shared" si="23"/>
        <v>6425.123897999999</v>
      </c>
      <c r="AI30" s="99">
        <f t="shared" si="22"/>
        <v>0</v>
      </c>
      <c r="AJ30" s="100"/>
      <c r="AK30" s="101">
        <f t="shared" si="29"/>
        <v>1.5</v>
      </c>
      <c r="AL30" s="93">
        <f t="shared" si="8"/>
        <v>1.5</v>
      </c>
      <c r="AM30" s="102">
        <v>13615.4</v>
      </c>
      <c r="AN30" s="92">
        <v>13953</v>
      </c>
      <c r="AO30" s="103">
        <f t="shared" si="9"/>
        <v>0.9758044864903604</v>
      </c>
      <c r="AP30" s="100"/>
      <c r="AQ30" s="101">
        <f t="shared" si="27"/>
        <v>1</v>
      </c>
      <c r="AR30" s="104">
        <f t="shared" si="15"/>
        <v>1</v>
      </c>
      <c r="AS30" s="102">
        <v>31239.6</v>
      </c>
      <c r="AT30" s="92">
        <v>33128</v>
      </c>
      <c r="AU30" s="99">
        <f t="shared" si="10"/>
        <v>0.9429968606616759</v>
      </c>
      <c r="AV30" s="100"/>
      <c r="AW30" s="101">
        <f t="shared" si="28"/>
        <v>1</v>
      </c>
      <c r="AX30" s="104">
        <f t="shared" si="11"/>
        <v>1</v>
      </c>
      <c r="AY30" s="105">
        <f t="shared" si="16"/>
        <v>6.5</v>
      </c>
    </row>
    <row r="31" spans="1:51" s="9" customFormat="1" ht="12.75">
      <c r="A31" s="88" t="s">
        <v>84</v>
      </c>
      <c r="B31" s="89">
        <v>0</v>
      </c>
      <c r="C31" s="89">
        <v>2415</v>
      </c>
      <c r="D31" s="89">
        <v>0</v>
      </c>
      <c r="E31" s="90">
        <f t="shared" si="12"/>
        <v>0</v>
      </c>
      <c r="F31" s="91"/>
      <c r="G31" s="92">
        <f t="shared" si="31"/>
        <v>1</v>
      </c>
      <c r="H31" s="93">
        <f t="shared" si="0"/>
        <v>1</v>
      </c>
      <c r="I31" s="89">
        <v>0</v>
      </c>
      <c r="J31" s="94">
        <v>236635.89815999998</v>
      </c>
      <c r="K31" s="95">
        <v>208557.04348</v>
      </c>
      <c r="L31" s="89">
        <v>15927.322300000002</v>
      </c>
      <c r="M31" s="89">
        <v>0</v>
      </c>
      <c r="N31" s="90">
        <f t="shared" si="18"/>
        <v>0</v>
      </c>
      <c r="O31" s="91"/>
      <c r="P31" s="92">
        <f t="shared" si="33"/>
        <v>1</v>
      </c>
      <c r="Q31" s="93">
        <f t="shared" si="2"/>
        <v>1</v>
      </c>
      <c r="R31" s="96">
        <v>0</v>
      </c>
      <c r="S31" s="89">
        <v>232662.63304</v>
      </c>
      <c r="T31" s="97">
        <v>119760.26087</v>
      </c>
      <c r="U31" s="90">
        <f t="shared" si="3"/>
        <v>0</v>
      </c>
      <c r="V31" s="91"/>
      <c r="W31" s="92">
        <f t="shared" si="32"/>
        <v>1</v>
      </c>
      <c r="X31" s="93">
        <f t="shared" si="13"/>
        <v>1</v>
      </c>
      <c r="Y31" s="89">
        <v>-3973.26512</v>
      </c>
      <c r="Z31" s="98">
        <v>0</v>
      </c>
      <c r="AA31" s="98">
        <v>-3973.26512</v>
      </c>
      <c r="AB31" s="98">
        <v>0</v>
      </c>
      <c r="AC31" s="98">
        <f t="shared" si="5"/>
        <v>236635.89815999998</v>
      </c>
      <c r="AD31" s="98">
        <f t="shared" si="5"/>
        <v>208557.04348</v>
      </c>
      <c r="AE31" s="98">
        <f t="shared" si="5"/>
        <v>15927.322300000002</v>
      </c>
      <c r="AF31" s="98">
        <f t="shared" si="14"/>
        <v>12151.532379999988</v>
      </c>
      <c r="AG31" s="98">
        <f t="shared" si="30"/>
        <v>607.5766189999994</v>
      </c>
      <c r="AH31" s="98">
        <f t="shared" si="23"/>
        <v>607.5766189999994</v>
      </c>
      <c r="AI31" s="99">
        <f t="shared" si="22"/>
        <v>0</v>
      </c>
      <c r="AJ31" s="91"/>
      <c r="AK31" s="101">
        <f t="shared" si="29"/>
        <v>1.5</v>
      </c>
      <c r="AL31" s="93">
        <f t="shared" si="8"/>
        <v>1.5</v>
      </c>
      <c r="AM31" s="102">
        <v>8224.2</v>
      </c>
      <c r="AN31" s="92">
        <v>9738</v>
      </c>
      <c r="AO31" s="103">
        <f t="shared" si="9"/>
        <v>0.8445471349353051</v>
      </c>
      <c r="AP31" s="91"/>
      <c r="AQ31" s="101">
        <f t="shared" si="27"/>
        <v>1</v>
      </c>
      <c r="AR31" s="104">
        <f t="shared" si="15"/>
        <v>1</v>
      </c>
      <c r="AS31" s="102">
        <v>18818.8</v>
      </c>
      <c r="AT31" s="92">
        <v>23216</v>
      </c>
      <c r="AU31" s="99">
        <f t="shared" si="10"/>
        <v>0.8105961405926947</v>
      </c>
      <c r="AV31" s="91"/>
      <c r="AW31" s="101">
        <f t="shared" si="28"/>
        <v>1</v>
      </c>
      <c r="AX31" s="104">
        <f t="shared" si="11"/>
        <v>1</v>
      </c>
      <c r="AY31" s="105">
        <f t="shared" si="16"/>
        <v>6.5</v>
      </c>
    </row>
    <row r="32" spans="1:51" s="9" customFormat="1" ht="12.75">
      <c r="A32" s="88" t="s">
        <v>85</v>
      </c>
      <c r="B32" s="89">
        <v>0</v>
      </c>
      <c r="C32" s="89">
        <v>5160.11908</v>
      </c>
      <c r="D32" s="89">
        <v>0</v>
      </c>
      <c r="E32" s="90">
        <f t="shared" si="12"/>
        <v>0</v>
      </c>
      <c r="F32" s="91"/>
      <c r="G32" s="92">
        <f t="shared" si="31"/>
        <v>1</v>
      </c>
      <c r="H32" s="93">
        <f t="shared" si="0"/>
        <v>1</v>
      </c>
      <c r="I32" s="89">
        <v>0</v>
      </c>
      <c r="J32" s="94">
        <v>478001.86867</v>
      </c>
      <c r="K32" s="95">
        <v>349865.24361</v>
      </c>
      <c r="L32" s="89">
        <v>83204.00888</v>
      </c>
      <c r="M32" s="89">
        <v>0</v>
      </c>
      <c r="N32" s="90">
        <f t="shared" si="18"/>
        <v>0</v>
      </c>
      <c r="O32" s="91"/>
      <c r="P32" s="92">
        <f t="shared" si="33"/>
        <v>1</v>
      </c>
      <c r="Q32" s="93">
        <f t="shared" si="2"/>
        <v>1</v>
      </c>
      <c r="R32" s="96">
        <v>0</v>
      </c>
      <c r="S32" s="89">
        <v>478517.27865</v>
      </c>
      <c r="T32" s="97">
        <v>228900.14940999998</v>
      </c>
      <c r="U32" s="90">
        <f t="shared" si="3"/>
        <v>0</v>
      </c>
      <c r="V32" s="91"/>
      <c r="W32" s="92">
        <f t="shared" si="32"/>
        <v>1</v>
      </c>
      <c r="X32" s="93">
        <f t="shared" si="13"/>
        <v>1</v>
      </c>
      <c r="Y32" s="89">
        <v>515.40998</v>
      </c>
      <c r="Z32" s="98">
        <v>0</v>
      </c>
      <c r="AA32" s="98">
        <v>515.40998</v>
      </c>
      <c r="AB32" s="98">
        <v>0</v>
      </c>
      <c r="AC32" s="98">
        <f t="shared" si="5"/>
        <v>478001.86867</v>
      </c>
      <c r="AD32" s="98">
        <f t="shared" si="5"/>
        <v>349865.24361</v>
      </c>
      <c r="AE32" s="98">
        <f t="shared" si="5"/>
        <v>83204.00888</v>
      </c>
      <c r="AF32" s="98">
        <f t="shared" si="14"/>
        <v>44932.61618</v>
      </c>
      <c r="AG32" s="98">
        <f t="shared" si="30"/>
        <v>2246.6308089999998</v>
      </c>
      <c r="AH32" s="98">
        <f t="shared" si="23"/>
        <v>2762.0407889999997</v>
      </c>
      <c r="AI32" s="99">
        <f t="shared" si="22"/>
        <v>0</v>
      </c>
      <c r="AJ32" s="91"/>
      <c r="AK32" s="101">
        <f t="shared" si="29"/>
        <v>1.5</v>
      </c>
      <c r="AL32" s="93">
        <f t="shared" si="8"/>
        <v>1.5</v>
      </c>
      <c r="AM32" s="102">
        <v>12690.2</v>
      </c>
      <c r="AN32" s="92">
        <v>13953</v>
      </c>
      <c r="AO32" s="103">
        <f>AM32/AN32</f>
        <v>0.9094961656991328</v>
      </c>
      <c r="AP32" s="91"/>
      <c r="AQ32" s="101">
        <f t="shared" si="27"/>
        <v>1</v>
      </c>
      <c r="AR32" s="104">
        <f t="shared" si="15"/>
        <v>1</v>
      </c>
      <c r="AS32" s="102">
        <v>33037.9</v>
      </c>
      <c r="AT32" s="92">
        <v>33128</v>
      </c>
      <c r="AU32" s="99">
        <f t="shared" si="10"/>
        <v>0.9972802463173147</v>
      </c>
      <c r="AV32" s="91"/>
      <c r="AW32" s="101">
        <f t="shared" si="28"/>
        <v>1</v>
      </c>
      <c r="AX32" s="104">
        <f t="shared" si="11"/>
        <v>1</v>
      </c>
      <c r="AY32" s="105">
        <f t="shared" si="16"/>
        <v>6.5</v>
      </c>
    </row>
    <row r="33" spans="1:51" s="9" customFormat="1" ht="12.75">
      <c r="A33" s="112" t="s">
        <v>86</v>
      </c>
      <c r="B33" s="65">
        <v>0</v>
      </c>
      <c r="C33" s="65">
        <v>8787.26056</v>
      </c>
      <c r="D33" s="65">
        <v>0</v>
      </c>
      <c r="E33" s="73">
        <f>IF(AND(B33=0,D33=0),0,B33/(IF(C33&gt;0,C33,0)+D33))</f>
        <v>0</v>
      </c>
      <c r="F33" s="67">
        <f>IF(E33&lt;=1.05,1,0)</f>
        <v>1</v>
      </c>
      <c r="G33" s="81"/>
      <c r="H33" s="82">
        <f>F33+G33</f>
        <v>1</v>
      </c>
      <c r="I33" s="65">
        <v>0</v>
      </c>
      <c r="J33" s="71">
        <v>542950.60229</v>
      </c>
      <c r="K33" s="72">
        <v>400330.91154</v>
      </c>
      <c r="L33" s="65">
        <v>75771.141</v>
      </c>
      <c r="M33" s="65">
        <v>0</v>
      </c>
      <c r="N33" s="73">
        <f>(I33-M33)/(J33-K33-L33)</f>
        <v>0</v>
      </c>
      <c r="O33" s="67">
        <f>IF(N33&lt;=1,1,0)</f>
        <v>1</v>
      </c>
      <c r="P33" s="81"/>
      <c r="Q33" s="82">
        <f>O33+P33</f>
        <v>1</v>
      </c>
      <c r="R33" s="108">
        <v>0</v>
      </c>
      <c r="S33" s="65">
        <v>545407.15091</v>
      </c>
      <c r="T33" s="75">
        <v>296106.75842</v>
      </c>
      <c r="U33" s="73">
        <f>R33/(S33-T33)</f>
        <v>0</v>
      </c>
      <c r="V33" s="67">
        <f>IF(U33&lt;=0.15,1,0)</f>
        <v>1</v>
      </c>
      <c r="W33" s="81"/>
      <c r="X33" s="82">
        <f t="shared" si="13"/>
        <v>1</v>
      </c>
      <c r="Y33" s="65">
        <v>2456.54862</v>
      </c>
      <c r="Z33" s="77">
        <v>0</v>
      </c>
      <c r="AA33" s="77">
        <v>2456.54862</v>
      </c>
      <c r="AB33" s="77">
        <v>0</v>
      </c>
      <c r="AC33" s="77">
        <f>J33</f>
        <v>542950.60229</v>
      </c>
      <c r="AD33" s="77">
        <f>K33</f>
        <v>400330.91154</v>
      </c>
      <c r="AE33" s="77">
        <f>L33</f>
        <v>75771.141</v>
      </c>
      <c r="AF33" s="77">
        <f>AC33-AD33-AE33</f>
        <v>66848.54974999995</v>
      </c>
      <c r="AG33" s="78">
        <f>AF33*10%</f>
        <v>6684.854974999995</v>
      </c>
      <c r="AH33" s="77">
        <f>IF(AA33&gt;0,AA33,0)+AG33+IF(AB33&gt;0,AB33,0)</f>
        <v>9141.403594999994</v>
      </c>
      <c r="AI33" s="111">
        <f>IF((Y33-IF(Z33&gt;0,Z33,0)-IF(AA33&gt;0,AA33,0)-IF(AB33&gt;0,AB33,0))/(AC33-AD33-AE33)&gt;0,(Y33-IF(Z33&gt;0,Z33,0)-IF(AA33&gt;0,AA33,0)-IF(AB33&gt;0,AB33,0))/(AC33-AD33-AE33),0)</f>
        <v>0</v>
      </c>
      <c r="AJ33" s="80">
        <f>IF(AI33&lt;=0.1,1.5,0)</f>
        <v>1.5</v>
      </c>
      <c r="AK33" s="113"/>
      <c r="AL33" s="82">
        <f>AJ33+AK33</f>
        <v>1.5</v>
      </c>
      <c r="AM33" s="83">
        <v>15767.3</v>
      </c>
      <c r="AN33" s="81">
        <v>16894</v>
      </c>
      <c r="AO33" s="110">
        <f>AM33/AN33</f>
        <v>0.9333076832011364</v>
      </c>
      <c r="AP33" s="85">
        <f>IF(AO33&lt;=1,1,0)</f>
        <v>1</v>
      </c>
      <c r="AQ33" s="113"/>
      <c r="AR33" s="114">
        <f>AP33+AQ33</f>
        <v>1</v>
      </c>
      <c r="AS33" s="83">
        <v>37133.6</v>
      </c>
      <c r="AT33" s="81">
        <v>38668</v>
      </c>
      <c r="AU33" s="111">
        <f t="shared" si="10"/>
        <v>0.9603186097031137</v>
      </c>
      <c r="AV33" s="85">
        <f>IF(AU33&lt;=1,1,0)</f>
        <v>1</v>
      </c>
      <c r="AW33" s="113"/>
      <c r="AX33" s="114">
        <f t="shared" si="11"/>
        <v>1</v>
      </c>
      <c r="AY33" s="109">
        <f t="shared" si="16"/>
        <v>6.5</v>
      </c>
    </row>
    <row r="34" spans="1:51" s="9" customFormat="1" ht="12.75">
      <c r="A34" s="112" t="s">
        <v>87</v>
      </c>
      <c r="B34" s="65">
        <v>0</v>
      </c>
      <c r="C34" s="65">
        <v>1161.821</v>
      </c>
      <c r="D34" s="65">
        <v>0</v>
      </c>
      <c r="E34" s="73">
        <f t="shared" si="12"/>
        <v>0</v>
      </c>
      <c r="F34" s="67">
        <f>IF(E34&lt;=1.05,1,0)</f>
        <v>1</v>
      </c>
      <c r="G34" s="81"/>
      <c r="H34" s="82">
        <f t="shared" si="0"/>
        <v>1</v>
      </c>
      <c r="I34" s="65">
        <v>0</v>
      </c>
      <c r="J34" s="71">
        <v>131002.07376</v>
      </c>
      <c r="K34" s="72">
        <v>92399.12440999999</v>
      </c>
      <c r="L34" s="65">
        <v>23025.64459</v>
      </c>
      <c r="M34" s="65">
        <v>0</v>
      </c>
      <c r="N34" s="73">
        <f t="shared" si="18"/>
        <v>0</v>
      </c>
      <c r="O34" s="67">
        <f>IF(N34&lt;=1,1,0)</f>
        <v>1</v>
      </c>
      <c r="P34" s="81"/>
      <c r="Q34" s="82">
        <f t="shared" si="2"/>
        <v>1</v>
      </c>
      <c r="R34" s="108">
        <v>0</v>
      </c>
      <c r="S34" s="65">
        <v>127878.28044</v>
      </c>
      <c r="T34" s="75">
        <v>61086.259560000006</v>
      </c>
      <c r="U34" s="73">
        <f t="shared" si="3"/>
        <v>0</v>
      </c>
      <c r="V34" s="67">
        <f>IF(U34&lt;=0.15,1,0)</f>
        <v>1</v>
      </c>
      <c r="W34" s="81"/>
      <c r="X34" s="82">
        <f t="shared" si="13"/>
        <v>1</v>
      </c>
      <c r="Y34" s="65">
        <v>-3123.7933199999998</v>
      </c>
      <c r="Z34" s="77">
        <v>0</v>
      </c>
      <c r="AA34" s="77">
        <v>-3123.7933199999998</v>
      </c>
      <c r="AB34" s="77">
        <v>0</v>
      </c>
      <c r="AC34" s="77">
        <f t="shared" si="5"/>
        <v>131002.07376</v>
      </c>
      <c r="AD34" s="77">
        <f t="shared" si="5"/>
        <v>92399.12440999999</v>
      </c>
      <c r="AE34" s="77">
        <f t="shared" si="5"/>
        <v>23025.64459</v>
      </c>
      <c r="AF34" s="77">
        <f t="shared" si="14"/>
        <v>15577.30476000001</v>
      </c>
      <c r="AG34" s="78">
        <f aca="true" t="shared" si="34" ref="AG34:AG39">AF34*5%</f>
        <v>778.8652380000005</v>
      </c>
      <c r="AH34" s="77">
        <f t="shared" si="23"/>
        <v>778.8652380000005</v>
      </c>
      <c r="AI34" s="111">
        <f t="shared" si="22"/>
        <v>0</v>
      </c>
      <c r="AJ34" s="80">
        <f>IF(AI34&lt;=0.1,1.5,0)</f>
        <v>1.5</v>
      </c>
      <c r="AK34" s="113"/>
      <c r="AL34" s="82">
        <f t="shared" si="8"/>
        <v>1.5</v>
      </c>
      <c r="AM34" s="83">
        <v>6585</v>
      </c>
      <c r="AN34" s="81">
        <v>9587</v>
      </c>
      <c r="AO34" s="110">
        <f t="shared" si="9"/>
        <v>0.686867633253364</v>
      </c>
      <c r="AP34" s="85">
        <f>IF(AO34&lt;=1,1,0)</f>
        <v>1</v>
      </c>
      <c r="AQ34" s="113"/>
      <c r="AR34" s="114">
        <f>AP34+AQ34</f>
        <v>1</v>
      </c>
      <c r="AS34" s="83">
        <v>19865</v>
      </c>
      <c r="AT34" s="81">
        <v>24201</v>
      </c>
      <c r="AU34" s="111">
        <f t="shared" si="10"/>
        <v>0.8208338498409157</v>
      </c>
      <c r="AV34" s="85">
        <f>IF(AU34&lt;=1,1,0)</f>
        <v>1</v>
      </c>
      <c r="AW34" s="113"/>
      <c r="AX34" s="114">
        <f t="shared" si="11"/>
        <v>1</v>
      </c>
      <c r="AY34" s="109">
        <f t="shared" si="16"/>
        <v>6.5</v>
      </c>
    </row>
    <row r="35" spans="1:51" s="9" customFormat="1" ht="12.75">
      <c r="A35" s="112" t="s">
        <v>88</v>
      </c>
      <c r="B35" s="65">
        <v>12157</v>
      </c>
      <c r="C35" s="65">
        <v>113.95267999999999</v>
      </c>
      <c r="D35" s="65">
        <v>12157</v>
      </c>
      <c r="E35" s="73">
        <f>IF(AND(B35=0,D35=0),0,B35/(IF(C35&gt;0,C35,0)+D35))</f>
        <v>0.9907136240378689</v>
      </c>
      <c r="F35" s="67">
        <f>IF(E35&lt;=1.05,1,0)</f>
        <v>1</v>
      </c>
      <c r="G35" s="81"/>
      <c r="H35" s="82">
        <f t="shared" si="0"/>
        <v>1</v>
      </c>
      <c r="I35" s="65">
        <v>0</v>
      </c>
      <c r="J35" s="71">
        <v>325246.62231</v>
      </c>
      <c r="K35" s="72">
        <v>236469.47941</v>
      </c>
      <c r="L35" s="65">
        <v>29541.18532</v>
      </c>
      <c r="M35" s="65">
        <v>0</v>
      </c>
      <c r="N35" s="73">
        <f t="shared" si="18"/>
        <v>0</v>
      </c>
      <c r="O35" s="67">
        <f>IF(N35&lt;=1,1,0)</f>
        <v>1</v>
      </c>
      <c r="P35" s="81"/>
      <c r="Q35" s="82">
        <f t="shared" si="2"/>
        <v>1</v>
      </c>
      <c r="R35" s="108">
        <v>94.5</v>
      </c>
      <c r="S35" s="65">
        <v>324452.25989</v>
      </c>
      <c r="T35" s="75">
        <v>131879.70587</v>
      </c>
      <c r="U35" s="73">
        <f t="shared" si="3"/>
        <v>0.0004907241350197055</v>
      </c>
      <c r="V35" s="67">
        <f>IF(U35&lt;=0.15,1,0)</f>
        <v>1</v>
      </c>
      <c r="W35" s="81"/>
      <c r="X35" s="82">
        <f t="shared" si="13"/>
        <v>1</v>
      </c>
      <c r="Y35" s="65">
        <v>-794.36242</v>
      </c>
      <c r="Z35" s="77">
        <v>0</v>
      </c>
      <c r="AA35" s="77">
        <v>-794.36242</v>
      </c>
      <c r="AB35" s="77">
        <v>0</v>
      </c>
      <c r="AC35" s="77">
        <f t="shared" si="5"/>
        <v>325246.62231</v>
      </c>
      <c r="AD35" s="77">
        <f t="shared" si="5"/>
        <v>236469.47941</v>
      </c>
      <c r="AE35" s="77">
        <f t="shared" si="5"/>
        <v>29541.18532</v>
      </c>
      <c r="AF35" s="77">
        <f t="shared" si="14"/>
        <v>59235.95758</v>
      </c>
      <c r="AG35" s="78">
        <f t="shared" si="34"/>
        <v>2961.797879</v>
      </c>
      <c r="AH35" s="77">
        <f t="shared" si="23"/>
        <v>2961.797879</v>
      </c>
      <c r="AI35" s="111">
        <f t="shared" si="22"/>
        <v>0</v>
      </c>
      <c r="AJ35" s="80">
        <f>IF(AI35&lt;=0.1,1.5,0)</f>
        <v>1.5</v>
      </c>
      <c r="AK35" s="113"/>
      <c r="AL35" s="82">
        <f t="shared" si="8"/>
        <v>1.5</v>
      </c>
      <c r="AM35" s="83">
        <v>11305.1</v>
      </c>
      <c r="AN35" s="81">
        <v>11794</v>
      </c>
      <c r="AO35" s="110">
        <f t="shared" si="9"/>
        <v>0.9585467186705104</v>
      </c>
      <c r="AP35" s="85">
        <f>IF(AO35&lt;=1,1,0)</f>
        <v>1</v>
      </c>
      <c r="AQ35" s="113"/>
      <c r="AR35" s="114">
        <f t="shared" si="15"/>
        <v>1</v>
      </c>
      <c r="AS35" s="83">
        <v>27462.6</v>
      </c>
      <c r="AT35" s="81">
        <v>29118</v>
      </c>
      <c r="AU35" s="111">
        <f t="shared" si="10"/>
        <v>0.9431485678961467</v>
      </c>
      <c r="AV35" s="85">
        <f>IF(AU35&lt;=1,1,0)</f>
        <v>1</v>
      </c>
      <c r="AW35" s="113"/>
      <c r="AX35" s="114">
        <f t="shared" si="11"/>
        <v>1</v>
      </c>
      <c r="AY35" s="109">
        <f t="shared" si="16"/>
        <v>6.5</v>
      </c>
    </row>
    <row r="36" spans="1:51" s="9" customFormat="1" ht="12.75">
      <c r="A36" s="88" t="s">
        <v>89</v>
      </c>
      <c r="B36" s="89">
        <v>0</v>
      </c>
      <c r="C36" s="89">
        <v>0</v>
      </c>
      <c r="D36" s="89">
        <v>0</v>
      </c>
      <c r="E36" s="90">
        <f t="shared" si="12"/>
        <v>0</v>
      </c>
      <c r="F36" s="91"/>
      <c r="G36" s="92">
        <f t="shared" si="31"/>
        <v>1</v>
      </c>
      <c r="H36" s="93">
        <f t="shared" si="0"/>
        <v>1</v>
      </c>
      <c r="I36" s="89">
        <v>0</v>
      </c>
      <c r="J36" s="94">
        <v>387756.02045</v>
      </c>
      <c r="K36" s="95">
        <v>272241.9596</v>
      </c>
      <c r="L36" s="89">
        <v>52150.684</v>
      </c>
      <c r="M36" s="89">
        <v>0</v>
      </c>
      <c r="N36" s="90">
        <f t="shared" si="18"/>
        <v>0</v>
      </c>
      <c r="O36" s="91"/>
      <c r="P36" s="92">
        <f t="shared" si="33"/>
        <v>1</v>
      </c>
      <c r="Q36" s="93">
        <f t="shared" si="2"/>
        <v>1</v>
      </c>
      <c r="R36" s="96">
        <v>0</v>
      </c>
      <c r="S36" s="89">
        <v>370039.10083</v>
      </c>
      <c r="T36" s="97">
        <v>159400.0531</v>
      </c>
      <c r="U36" s="90">
        <f t="shared" si="3"/>
        <v>0</v>
      </c>
      <c r="V36" s="91"/>
      <c r="W36" s="92">
        <f t="shared" si="32"/>
        <v>1</v>
      </c>
      <c r="X36" s="93">
        <f t="shared" si="13"/>
        <v>1</v>
      </c>
      <c r="Y36" s="89">
        <v>-17716.91962</v>
      </c>
      <c r="Z36" s="98">
        <v>0</v>
      </c>
      <c r="AA36" s="98">
        <v>-17716.91962</v>
      </c>
      <c r="AB36" s="98">
        <v>0</v>
      </c>
      <c r="AC36" s="98">
        <f t="shared" si="5"/>
        <v>387756.02045</v>
      </c>
      <c r="AD36" s="98">
        <f t="shared" si="5"/>
        <v>272241.9596</v>
      </c>
      <c r="AE36" s="98">
        <f t="shared" si="5"/>
        <v>52150.684</v>
      </c>
      <c r="AF36" s="98">
        <f t="shared" si="14"/>
        <v>63363.37685000001</v>
      </c>
      <c r="AG36" s="98">
        <f t="shared" si="34"/>
        <v>3168.1688425000007</v>
      </c>
      <c r="AH36" s="98">
        <f t="shared" si="23"/>
        <v>3168.1688425000007</v>
      </c>
      <c r="AI36" s="99">
        <f t="shared" si="22"/>
        <v>0</v>
      </c>
      <c r="AJ36" s="91"/>
      <c r="AK36" s="101">
        <f>IF(AI36&lt;=0.05,1.5,0)</f>
        <v>1.5</v>
      </c>
      <c r="AL36" s="93">
        <f t="shared" si="8"/>
        <v>1.5</v>
      </c>
      <c r="AM36" s="102">
        <v>10908</v>
      </c>
      <c r="AN36" s="92">
        <v>11047</v>
      </c>
      <c r="AO36" s="103">
        <f t="shared" si="9"/>
        <v>0.9874173983887028</v>
      </c>
      <c r="AP36" s="91"/>
      <c r="AQ36" s="101">
        <f>IF(AO36&lt;=1,1,0)</f>
        <v>1</v>
      </c>
      <c r="AR36" s="104">
        <f t="shared" si="15"/>
        <v>1</v>
      </c>
      <c r="AS36" s="102">
        <v>26135.3</v>
      </c>
      <c r="AT36" s="92">
        <v>28086</v>
      </c>
      <c r="AU36" s="99">
        <f t="shared" si="10"/>
        <v>0.930545467492701</v>
      </c>
      <c r="AV36" s="91"/>
      <c r="AW36" s="101">
        <f>IF(AU36&lt;=1,1,0)</f>
        <v>1</v>
      </c>
      <c r="AX36" s="104">
        <f t="shared" si="11"/>
        <v>1</v>
      </c>
      <c r="AY36" s="105">
        <f t="shared" si="16"/>
        <v>6.5</v>
      </c>
    </row>
    <row r="37" spans="1:51" s="9" customFormat="1" ht="12.75">
      <c r="A37" s="88" t="s">
        <v>90</v>
      </c>
      <c r="B37" s="89">
        <v>0</v>
      </c>
      <c r="C37" s="89">
        <v>4810.59224</v>
      </c>
      <c r="D37" s="89">
        <v>0</v>
      </c>
      <c r="E37" s="90">
        <f t="shared" si="12"/>
        <v>0</v>
      </c>
      <c r="F37" s="91"/>
      <c r="G37" s="92">
        <f t="shared" si="31"/>
        <v>1</v>
      </c>
      <c r="H37" s="93">
        <f t="shared" si="0"/>
        <v>1</v>
      </c>
      <c r="I37" s="89">
        <v>0</v>
      </c>
      <c r="J37" s="94">
        <v>240889.87206999998</v>
      </c>
      <c r="K37" s="95">
        <v>171289.28785</v>
      </c>
      <c r="L37" s="89">
        <v>45606.52944</v>
      </c>
      <c r="M37" s="89">
        <v>0</v>
      </c>
      <c r="N37" s="90">
        <f t="shared" si="18"/>
        <v>0</v>
      </c>
      <c r="O37" s="91"/>
      <c r="P37" s="92">
        <f t="shared" si="33"/>
        <v>1</v>
      </c>
      <c r="Q37" s="93">
        <f t="shared" si="2"/>
        <v>1</v>
      </c>
      <c r="R37" s="96">
        <v>0</v>
      </c>
      <c r="S37" s="89">
        <v>243881.49637</v>
      </c>
      <c r="T37" s="97">
        <v>105482.26821</v>
      </c>
      <c r="U37" s="90">
        <f t="shared" si="3"/>
        <v>0</v>
      </c>
      <c r="V37" s="91"/>
      <c r="W37" s="92">
        <f t="shared" si="32"/>
        <v>1</v>
      </c>
      <c r="X37" s="93">
        <f t="shared" si="13"/>
        <v>1</v>
      </c>
      <c r="Y37" s="89">
        <v>2991.6243</v>
      </c>
      <c r="Z37" s="98">
        <v>0</v>
      </c>
      <c r="AA37" s="98">
        <v>2991.6243</v>
      </c>
      <c r="AB37" s="98">
        <v>0</v>
      </c>
      <c r="AC37" s="98">
        <f t="shared" si="5"/>
        <v>240889.87206999998</v>
      </c>
      <c r="AD37" s="98">
        <f t="shared" si="5"/>
        <v>171289.28785</v>
      </c>
      <c r="AE37" s="98">
        <f t="shared" si="5"/>
        <v>45606.52944</v>
      </c>
      <c r="AF37" s="98">
        <f t="shared" si="14"/>
        <v>23994.05477999999</v>
      </c>
      <c r="AG37" s="98">
        <f t="shared" si="34"/>
        <v>1199.7027389999996</v>
      </c>
      <c r="AH37" s="98">
        <f t="shared" si="23"/>
        <v>4191.327039</v>
      </c>
      <c r="AI37" s="99">
        <f t="shared" si="22"/>
        <v>0</v>
      </c>
      <c r="AJ37" s="91"/>
      <c r="AK37" s="101">
        <f>IF(AI37&lt;=0.05,1.5,0)</f>
        <v>1.5</v>
      </c>
      <c r="AL37" s="93">
        <f t="shared" si="8"/>
        <v>1.5</v>
      </c>
      <c r="AM37" s="102">
        <v>10415.6</v>
      </c>
      <c r="AN37" s="92">
        <v>11794</v>
      </c>
      <c r="AO37" s="103">
        <f t="shared" si="9"/>
        <v>0.8831270137357979</v>
      </c>
      <c r="AP37" s="91"/>
      <c r="AQ37" s="101">
        <f>IF(AO37&lt;=1,1,0)</f>
        <v>1</v>
      </c>
      <c r="AR37" s="104">
        <f t="shared" si="15"/>
        <v>1</v>
      </c>
      <c r="AS37" s="102">
        <v>27793.3</v>
      </c>
      <c r="AT37" s="92">
        <v>29118</v>
      </c>
      <c r="AU37" s="99">
        <f t="shared" si="10"/>
        <v>0.9545058039700529</v>
      </c>
      <c r="AV37" s="91"/>
      <c r="AW37" s="101">
        <f>IF(AU37&lt;=1,1,0)</f>
        <v>1</v>
      </c>
      <c r="AX37" s="104">
        <f t="shared" si="11"/>
        <v>1</v>
      </c>
      <c r="AY37" s="105">
        <f t="shared" si="16"/>
        <v>6.5</v>
      </c>
    </row>
    <row r="38" spans="1:51" s="9" customFormat="1" ht="12.75">
      <c r="A38" s="88" t="s">
        <v>91</v>
      </c>
      <c r="B38" s="89">
        <v>0</v>
      </c>
      <c r="C38" s="89">
        <v>1435.77298</v>
      </c>
      <c r="D38" s="89">
        <v>0</v>
      </c>
      <c r="E38" s="90">
        <f t="shared" si="12"/>
        <v>0</v>
      </c>
      <c r="F38" s="91"/>
      <c r="G38" s="92">
        <f t="shared" si="31"/>
        <v>1</v>
      </c>
      <c r="H38" s="93">
        <f t="shared" si="0"/>
        <v>1</v>
      </c>
      <c r="I38" s="89">
        <v>0</v>
      </c>
      <c r="J38" s="94">
        <v>375825.51704</v>
      </c>
      <c r="K38" s="95">
        <v>273800.31174000003</v>
      </c>
      <c r="L38" s="89">
        <v>57009.45646</v>
      </c>
      <c r="M38" s="89">
        <v>0</v>
      </c>
      <c r="N38" s="90">
        <f t="shared" si="18"/>
        <v>0</v>
      </c>
      <c r="O38" s="91"/>
      <c r="P38" s="92">
        <f t="shared" si="33"/>
        <v>1</v>
      </c>
      <c r="Q38" s="93">
        <f t="shared" si="2"/>
        <v>1</v>
      </c>
      <c r="R38" s="96">
        <v>0</v>
      </c>
      <c r="S38" s="89">
        <v>376374.77807999996</v>
      </c>
      <c r="T38" s="97">
        <v>192329.15483</v>
      </c>
      <c r="U38" s="90">
        <f t="shared" si="3"/>
        <v>0</v>
      </c>
      <c r="V38" s="91"/>
      <c r="W38" s="92">
        <f t="shared" si="32"/>
        <v>1</v>
      </c>
      <c r="X38" s="93">
        <f t="shared" si="13"/>
        <v>1</v>
      </c>
      <c r="Y38" s="89">
        <v>549.2610400000001</v>
      </c>
      <c r="Z38" s="98">
        <v>0</v>
      </c>
      <c r="AA38" s="98">
        <v>549.2610400000001</v>
      </c>
      <c r="AB38" s="98">
        <v>0</v>
      </c>
      <c r="AC38" s="98">
        <f t="shared" si="5"/>
        <v>375825.51704</v>
      </c>
      <c r="AD38" s="98">
        <f t="shared" si="5"/>
        <v>273800.31174000003</v>
      </c>
      <c r="AE38" s="98">
        <f t="shared" si="5"/>
        <v>57009.45646</v>
      </c>
      <c r="AF38" s="98">
        <f t="shared" si="14"/>
        <v>45015.74883999997</v>
      </c>
      <c r="AG38" s="98">
        <f t="shared" si="34"/>
        <v>2250.7874419999985</v>
      </c>
      <c r="AH38" s="98">
        <f t="shared" si="23"/>
        <v>2800.0484819999983</v>
      </c>
      <c r="AI38" s="99">
        <f t="shared" si="22"/>
        <v>0</v>
      </c>
      <c r="AJ38" s="91"/>
      <c r="AK38" s="101">
        <f>IF(AI38&lt;=0.05,1.5,0)</f>
        <v>1.5</v>
      </c>
      <c r="AL38" s="93">
        <f t="shared" si="8"/>
        <v>1.5</v>
      </c>
      <c r="AM38" s="102">
        <v>12471.2</v>
      </c>
      <c r="AN38" s="92">
        <v>13953</v>
      </c>
      <c r="AO38" s="103">
        <f t="shared" si="9"/>
        <v>0.8938006163549058</v>
      </c>
      <c r="AP38" s="91"/>
      <c r="AQ38" s="101">
        <f>IF(AO38&lt;=1,1,0)</f>
        <v>1</v>
      </c>
      <c r="AR38" s="104">
        <f t="shared" si="15"/>
        <v>1</v>
      </c>
      <c r="AS38" s="102">
        <v>32439.8</v>
      </c>
      <c r="AT38" s="92">
        <v>33128</v>
      </c>
      <c r="AU38" s="99">
        <f t="shared" si="10"/>
        <v>0.9792260323593335</v>
      </c>
      <c r="AV38" s="91"/>
      <c r="AW38" s="101">
        <f>IF(AU38&lt;=1,1,0)</f>
        <v>1</v>
      </c>
      <c r="AX38" s="104">
        <f t="shared" si="11"/>
        <v>1</v>
      </c>
      <c r="AY38" s="105">
        <f t="shared" si="16"/>
        <v>6.5</v>
      </c>
    </row>
    <row r="39" spans="1:51" ht="12.75">
      <c r="A39" s="112" t="s">
        <v>92</v>
      </c>
      <c r="B39" s="65">
        <v>2250</v>
      </c>
      <c r="C39" s="65">
        <v>1101.2043700000002</v>
      </c>
      <c r="D39" s="65">
        <v>4280</v>
      </c>
      <c r="E39" s="73">
        <f t="shared" si="12"/>
        <v>0.41812201234051993</v>
      </c>
      <c r="F39" s="67">
        <f>IF(E39&lt;=1.05,1,0)</f>
        <v>1</v>
      </c>
      <c r="G39" s="81"/>
      <c r="H39" s="82">
        <f>F39+G39</f>
        <v>1</v>
      </c>
      <c r="I39" s="65">
        <v>2250</v>
      </c>
      <c r="J39" s="71">
        <v>447344.50771</v>
      </c>
      <c r="K39" s="72">
        <v>330352.89116</v>
      </c>
      <c r="L39" s="65">
        <v>69122.57511</v>
      </c>
      <c r="M39" s="65">
        <v>0</v>
      </c>
      <c r="N39" s="73">
        <f t="shared" si="18"/>
        <v>0.04700323909389737</v>
      </c>
      <c r="O39" s="67">
        <f>IF(N39&lt;=1,1,0)</f>
        <v>1</v>
      </c>
      <c r="P39" s="81"/>
      <c r="Q39" s="82">
        <f>O39+P39</f>
        <v>1</v>
      </c>
      <c r="R39" s="108">
        <v>326.6</v>
      </c>
      <c r="S39" s="65">
        <v>446578.44806</v>
      </c>
      <c r="T39" s="75">
        <v>199015.95465</v>
      </c>
      <c r="U39" s="73">
        <f t="shared" si="3"/>
        <v>0.0013192628475392765</v>
      </c>
      <c r="V39" s="67">
        <f>IF(U39&lt;=0.15,1,0)</f>
        <v>1</v>
      </c>
      <c r="W39" s="81"/>
      <c r="X39" s="82">
        <f t="shared" si="13"/>
        <v>1</v>
      </c>
      <c r="Y39" s="65">
        <v>-766.05965</v>
      </c>
      <c r="Z39" s="77">
        <v>0</v>
      </c>
      <c r="AA39" s="77">
        <v>1263.94035</v>
      </c>
      <c r="AB39" s="77">
        <v>0</v>
      </c>
      <c r="AC39" s="77">
        <f t="shared" si="5"/>
        <v>447344.50771</v>
      </c>
      <c r="AD39" s="77">
        <f t="shared" si="5"/>
        <v>330352.89116</v>
      </c>
      <c r="AE39" s="77">
        <f t="shared" si="5"/>
        <v>69122.57511</v>
      </c>
      <c r="AF39" s="77">
        <f t="shared" si="14"/>
        <v>47869.04143999997</v>
      </c>
      <c r="AG39" s="78">
        <f t="shared" si="34"/>
        <v>2393.4520719999987</v>
      </c>
      <c r="AH39" s="77">
        <f t="shared" si="23"/>
        <v>3657.392421999999</v>
      </c>
      <c r="AI39" s="111">
        <f t="shared" si="22"/>
        <v>0</v>
      </c>
      <c r="AJ39" s="80">
        <f>IF(AI39&lt;=0.1,1.5,0)</f>
        <v>1.5</v>
      </c>
      <c r="AK39" s="113"/>
      <c r="AL39" s="82">
        <f t="shared" si="8"/>
        <v>1.5</v>
      </c>
      <c r="AM39" s="83">
        <v>16142.4</v>
      </c>
      <c r="AN39" s="81">
        <v>16894</v>
      </c>
      <c r="AO39" s="110">
        <f t="shared" si="9"/>
        <v>0.9555108322481354</v>
      </c>
      <c r="AP39" s="85">
        <f>IF(AO39&lt;=1,1,0)</f>
        <v>1</v>
      </c>
      <c r="AQ39" s="113"/>
      <c r="AR39" s="114">
        <f>AP39+AQ39</f>
        <v>1</v>
      </c>
      <c r="AS39" s="83">
        <v>35940.2</v>
      </c>
      <c r="AT39" s="81">
        <v>38668</v>
      </c>
      <c r="AU39" s="111">
        <f t="shared" si="10"/>
        <v>0.9294558808316954</v>
      </c>
      <c r="AV39" s="85">
        <f>IF(AU39&lt;=1,1,0)</f>
        <v>1</v>
      </c>
      <c r="AW39" s="113"/>
      <c r="AX39" s="114">
        <f t="shared" si="11"/>
        <v>1</v>
      </c>
      <c r="AY39" s="109">
        <f t="shared" si="16"/>
        <v>6.5</v>
      </c>
    </row>
    <row r="40" spans="1:51" ht="12.75">
      <c r="A40" s="88" t="s">
        <v>93</v>
      </c>
      <c r="B40" s="89">
        <v>0</v>
      </c>
      <c r="C40" s="89">
        <v>12957.328</v>
      </c>
      <c r="D40" s="89">
        <v>0</v>
      </c>
      <c r="E40" s="90">
        <f t="shared" si="12"/>
        <v>0</v>
      </c>
      <c r="F40" s="91"/>
      <c r="G40" s="92">
        <f>IF(E40&lt;=1.05,1,0)</f>
        <v>1</v>
      </c>
      <c r="H40" s="93">
        <f t="shared" si="0"/>
        <v>1</v>
      </c>
      <c r="I40" s="89">
        <v>0</v>
      </c>
      <c r="J40" s="94">
        <v>496125.2927</v>
      </c>
      <c r="K40" s="95">
        <v>325206.76854</v>
      </c>
      <c r="L40" s="89">
        <v>93214.39364</v>
      </c>
      <c r="M40" s="89">
        <v>0</v>
      </c>
      <c r="N40" s="90">
        <f t="shared" si="18"/>
        <v>0</v>
      </c>
      <c r="O40" s="91"/>
      <c r="P40" s="92">
        <f>IF(N40&lt;=0.5,1,0)</f>
        <v>1</v>
      </c>
      <c r="Q40" s="93">
        <f t="shared" si="2"/>
        <v>1</v>
      </c>
      <c r="R40" s="96">
        <v>0</v>
      </c>
      <c r="S40" s="89">
        <v>492833.12898000004</v>
      </c>
      <c r="T40" s="97">
        <v>250015.43904</v>
      </c>
      <c r="U40" s="90">
        <f t="shared" si="3"/>
        <v>0</v>
      </c>
      <c r="V40" s="91"/>
      <c r="W40" s="92">
        <f>IF(U40&lt;=0.15,1,0)</f>
        <v>1</v>
      </c>
      <c r="X40" s="93">
        <f t="shared" si="13"/>
        <v>1</v>
      </c>
      <c r="Y40" s="89">
        <v>-3292.16372</v>
      </c>
      <c r="Z40" s="98">
        <v>0</v>
      </c>
      <c r="AA40" s="98">
        <v>-3292.16372</v>
      </c>
      <c r="AB40" s="98">
        <v>0</v>
      </c>
      <c r="AC40" s="98">
        <f t="shared" si="5"/>
        <v>496125.2927</v>
      </c>
      <c r="AD40" s="98">
        <f t="shared" si="5"/>
        <v>325206.76854</v>
      </c>
      <c r="AE40" s="98">
        <f t="shared" si="5"/>
        <v>93214.39364</v>
      </c>
      <c r="AF40" s="98">
        <f t="shared" si="14"/>
        <v>77704.13051999998</v>
      </c>
      <c r="AG40" s="98">
        <f>AF40*10%</f>
        <v>7770.413051999998</v>
      </c>
      <c r="AH40" s="98">
        <f t="shared" si="23"/>
        <v>7770.413051999998</v>
      </c>
      <c r="AI40" s="99">
        <f t="shared" si="22"/>
        <v>0</v>
      </c>
      <c r="AJ40" s="91"/>
      <c r="AK40" s="101">
        <f>IF(AI40&lt;=0.05,1.5,0)</f>
        <v>1.5</v>
      </c>
      <c r="AL40" s="93">
        <f t="shared" si="8"/>
        <v>1.5</v>
      </c>
      <c r="AM40" s="102">
        <v>16894</v>
      </c>
      <c r="AN40" s="92">
        <v>16894</v>
      </c>
      <c r="AO40" s="103">
        <f t="shared" si="9"/>
        <v>1</v>
      </c>
      <c r="AP40" s="91"/>
      <c r="AQ40" s="101">
        <f>IF(AO40&lt;=1,1,0)</f>
        <v>1</v>
      </c>
      <c r="AR40" s="104">
        <f>AP40+AQ40</f>
        <v>1</v>
      </c>
      <c r="AS40" s="102">
        <v>38584.5</v>
      </c>
      <c r="AT40" s="92">
        <v>38668</v>
      </c>
      <c r="AU40" s="99">
        <f t="shared" si="10"/>
        <v>0.9978405917037344</v>
      </c>
      <c r="AV40" s="91"/>
      <c r="AW40" s="101">
        <f>IF(AU40&lt;=1,1,0)</f>
        <v>1</v>
      </c>
      <c r="AX40" s="104">
        <f t="shared" si="11"/>
        <v>1</v>
      </c>
      <c r="AY40" s="105">
        <f t="shared" si="16"/>
        <v>6.5</v>
      </c>
    </row>
    <row r="41" spans="1:51" ht="12.75">
      <c r="A41" s="106" t="s">
        <v>94</v>
      </c>
      <c r="B41" s="115">
        <v>24003.33686</v>
      </c>
      <c r="C41" s="115">
        <v>0</v>
      </c>
      <c r="D41" s="115">
        <v>25487</v>
      </c>
      <c r="E41" s="73">
        <f t="shared" si="12"/>
        <v>0.9417874547808687</v>
      </c>
      <c r="F41" s="67">
        <f>IF(E41&lt;=1.05,1,0)</f>
        <v>1</v>
      </c>
      <c r="G41" s="68"/>
      <c r="H41" s="69">
        <f t="shared" si="0"/>
        <v>1</v>
      </c>
      <c r="I41" s="115">
        <v>33913</v>
      </c>
      <c r="J41" s="116">
        <v>183134.18641999998</v>
      </c>
      <c r="K41" s="72">
        <v>108340.63646</v>
      </c>
      <c r="L41" s="115">
        <v>28282.49648</v>
      </c>
      <c r="M41" s="115">
        <v>9913</v>
      </c>
      <c r="N41" s="73">
        <f t="shared" si="18"/>
        <v>0.516006372771585</v>
      </c>
      <c r="O41" s="67">
        <f>IF(N41&lt;=1,1,0)</f>
        <v>1</v>
      </c>
      <c r="P41" s="68"/>
      <c r="Q41" s="69">
        <f t="shared" si="2"/>
        <v>1</v>
      </c>
      <c r="R41" s="117">
        <v>3382.3</v>
      </c>
      <c r="S41" s="115">
        <v>180439.05752</v>
      </c>
      <c r="T41" s="75">
        <v>67984.65096</v>
      </c>
      <c r="U41" s="66">
        <f t="shared" si="3"/>
        <v>0.030077078377496708</v>
      </c>
      <c r="V41" s="67">
        <f>IF(U41&lt;=0.15,1,0)</f>
        <v>1</v>
      </c>
      <c r="W41" s="68"/>
      <c r="X41" s="69">
        <f t="shared" si="13"/>
        <v>1</v>
      </c>
      <c r="Y41" s="115">
        <v>-2695.1288999999997</v>
      </c>
      <c r="Z41" s="78">
        <v>0</v>
      </c>
      <c r="AA41" s="78">
        <v>-1208.1289</v>
      </c>
      <c r="AB41" s="78">
        <v>0</v>
      </c>
      <c r="AC41" s="78">
        <f t="shared" si="5"/>
        <v>183134.18641999998</v>
      </c>
      <c r="AD41" s="78">
        <f t="shared" si="5"/>
        <v>108340.63646</v>
      </c>
      <c r="AE41" s="78">
        <f t="shared" si="5"/>
        <v>28282.49648</v>
      </c>
      <c r="AF41" s="78">
        <f t="shared" si="14"/>
        <v>46511.05347999999</v>
      </c>
      <c r="AG41" s="78">
        <f>AF41*10%</f>
        <v>4651.105347999999</v>
      </c>
      <c r="AH41" s="78">
        <f t="shared" si="23"/>
        <v>4651.105347999999</v>
      </c>
      <c r="AI41" s="118">
        <f t="shared" si="22"/>
        <v>0</v>
      </c>
      <c r="AJ41" s="80">
        <f>IF(AI41&lt;=0.1,1.5,0)</f>
        <v>1.5</v>
      </c>
      <c r="AK41" s="68"/>
      <c r="AL41" s="69">
        <f t="shared" si="8"/>
        <v>1.5</v>
      </c>
      <c r="AM41" s="119">
        <v>7578.3</v>
      </c>
      <c r="AN41" s="68">
        <v>9094</v>
      </c>
      <c r="AO41" s="84">
        <f t="shared" si="9"/>
        <v>0.8333296679129096</v>
      </c>
      <c r="AP41" s="85">
        <f>IF(AO41&lt;=1,1,0)</f>
        <v>1</v>
      </c>
      <c r="AQ41" s="68"/>
      <c r="AR41" s="86">
        <f t="shared" si="15"/>
        <v>1</v>
      </c>
      <c r="AS41" s="119">
        <v>19974.3</v>
      </c>
      <c r="AT41" s="68">
        <v>22028</v>
      </c>
      <c r="AU41" s="79">
        <f t="shared" si="10"/>
        <v>0.9067686580715453</v>
      </c>
      <c r="AV41" s="85">
        <f>IF(AU41&lt;=1,1,0)</f>
        <v>1</v>
      </c>
      <c r="AW41" s="68"/>
      <c r="AX41" s="86">
        <f t="shared" si="11"/>
        <v>1</v>
      </c>
      <c r="AY41" s="120">
        <f t="shared" si="16"/>
        <v>6.5</v>
      </c>
    </row>
    <row r="42" spans="1:51" ht="13.5" thickBot="1">
      <c r="A42" s="106" t="s">
        <v>95</v>
      </c>
      <c r="B42" s="115">
        <v>16050.022</v>
      </c>
      <c r="C42" s="115">
        <v>6608.03459</v>
      </c>
      <c r="D42" s="115">
        <v>12500</v>
      </c>
      <c r="E42" s="66">
        <f t="shared" si="12"/>
        <v>0.8399619502677487</v>
      </c>
      <c r="F42" s="67">
        <f>IF(E42&lt;=1.05,1,0)</f>
        <v>1</v>
      </c>
      <c r="G42" s="68"/>
      <c r="H42" s="69">
        <f t="shared" si="0"/>
        <v>1</v>
      </c>
      <c r="I42" s="115">
        <v>30427.2</v>
      </c>
      <c r="J42" s="116">
        <v>288217.44664</v>
      </c>
      <c r="K42" s="72">
        <v>174134.07342</v>
      </c>
      <c r="L42" s="115">
        <v>37793.712159999995</v>
      </c>
      <c r="M42" s="115">
        <v>2927.2</v>
      </c>
      <c r="N42" s="66">
        <f>(I42-M42)/(J42-K42-L42)</f>
        <v>0.36046824193348964</v>
      </c>
      <c r="O42" s="67">
        <f>IF(N42&lt;=1,1,0)</f>
        <v>1</v>
      </c>
      <c r="P42" s="68"/>
      <c r="Q42" s="69">
        <f t="shared" si="2"/>
        <v>1</v>
      </c>
      <c r="R42" s="121">
        <v>4069.6</v>
      </c>
      <c r="S42" s="115">
        <v>290445.96962</v>
      </c>
      <c r="T42" s="75">
        <v>115719.85270999999</v>
      </c>
      <c r="U42" s="66">
        <f t="shared" si="3"/>
        <v>0.02329130911835131</v>
      </c>
      <c r="V42" s="67">
        <f>IF(U42&lt;=0.15,1,0)</f>
        <v>1</v>
      </c>
      <c r="W42" s="68"/>
      <c r="X42" s="69">
        <f t="shared" si="13"/>
        <v>1</v>
      </c>
      <c r="Y42" s="115">
        <v>2228.52298</v>
      </c>
      <c r="Z42" s="78">
        <v>0</v>
      </c>
      <c r="AA42" s="78">
        <v>2228.52298</v>
      </c>
      <c r="AB42" s="78">
        <v>0</v>
      </c>
      <c r="AC42" s="78">
        <f t="shared" si="5"/>
        <v>288217.44664</v>
      </c>
      <c r="AD42" s="78">
        <f t="shared" si="5"/>
        <v>174134.07342</v>
      </c>
      <c r="AE42" s="78">
        <f t="shared" si="5"/>
        <v>37793.712159999995</v>
      </c>
      <c r="AF42" s="78">
        <f t="shared" si="14"/>
        <v>76289.66105999998</v>
      </c>
      <c r="AG42" s="78">
        <f>AF42*10%</f>
        <v>7628.966105999999</v>
      </c>
      <c r="AH42" s="78">
        <f t="shared" si="23"/>
        <v>9857.489086</v>
      </c>
      <c r="AI42" s="111">
        <f t="shared" si="22"/>
        <v>0</v>
      </c>
      <c r="AJ42" s="80">
        <f>IF(AI42&lt;=0.1,1.5,0)</f>
        <v>1.5</v>
      </c>
      <c r="AK42" s="68"/>
      <c r="AL42" s="69">
        <f t="shared" si="8"/>
        <v>1.5</v>
      </c>
      <c r="AM42" s="119">
        <v>7392.7</v>
      </c>
      <c r="AN42" s="68">
        <v>9094</v>
      </c>
      <c r="AO42" s="84">
        <f t="shared" si="9"/>
        <v>0.8129206069936221</v>
      </c>
      <c r="AP42" s="85">
        <f>IF(AO42&lt;=1,1,0)</f>
        <v>1</v>
      </c>
      <c r="AQ42" s="68"/>
      <c r="AR42" s="86">
        <f t="shared" si="15"/>
        <v>1</v>
      </c>
      <c r="AS42" s="119">
        <v>18682.6</v>
      </c>
      <c r="AT42" s="68">
        <v>20087</v>
      </c>
      <c r="AU42" s="79">
        <f t="shared" si="10"/>
        <v>0.9300841340170258</v>
      </c>
      <c r="AV42" s="85">
        <f>IF(AU42&lt;=1,1,0)</f>
        <v>1</v>
      </c>
      <c r="AW42" s="68"/>
      <c r="AX42" s="86">
        <f t="shared" si="11"/>
        <v>1</v>
      </c>
      <c r="AY42" s="109">
        <f t="shared" si="16"/>
        <v>6.5</v>
      </c>
    </row>
    <row r="43" spans="1:51" ht="14.25" thickBot="1" thickTop="1">
      <c r="A43" s="122" t="s">
        <v>96</v>
      </c>
      <c r="B43" s="123">
        <f>SUM(B10:B42)</f>
        <v>2467780.29322</v>
      </c>
      <c r="C43" s="123">
        <f>SUM(C10:C42)</f>
        <v>446934.15741</v>
      </c>
      <c r="D43" s="123">
        <f>SUM(D10:D42)</f>
        <v>2295304.206</v>
      </c>
      <c r="E43" s="124"/>
      <c r="F43" s="124"/>
      <c r="G43" s="124"/>
      <c r="H43" s="125"/>
      <c r="I43" s="124">
        <f>SUM(I10:I42)</f>
        <v>2560839</v>
      </c>
      <c r="J43" s="124">
        <f>SUM(J10:J42)</f>
        <v>19814271.743610002</v>
      </c>
      <c r="K43" s="124">
        <f>SUM(K10:K42)</f>
        <v>13337776.22156</v>
      </c>
      <c r="L43" s="124">
        <f>SUM(L10:L42)</f>
        <v>1940557.82181</v>
      </c>
      <c r="M43" s="124">
        <f>SUM(M10:M42)</f>
        <v>51389.2</v>
      </c>
      <c r="N43" s="124"/>
      <c r="O43" s="124"/>
      <c r="P43" s="124"/>
      <c r="Q43" s="125"/>
      <c r="R43" s="126">
        <f>SUM(R10:R42)</f>
        <v>347788.5999999999</v>
      </c>
      <c r="S43" s="124">
        <f>SUM(S10:S42)</f>
        <v>19861718.68491</v>
      </c>
      <c r="T43" s="124">
        <f>SUM(T10:T42)</f>
        <v>7874761.26513</v>
      </c>
      <c r="U43" s="124"/>
      <c r="V43" s="124"/>
      <c r="W43" s="124"/>
      <c r="X43" s="125"/>
      <c r="Y43" s="127">
        <f aca="true" t="shared" si="35" ref="Y43:AE43">SUM(Y10:Y42)</f>
        <v>47446.94130000003</v>
      </c>
      <c r="Z43" s="128">
        <f t="shared" si="35"/>
        <v>18412.573</v>
      </c>
      <c r="AA43" s="128">
        <f t="shared" si="35"/>
        <v>-121045.42569999999</v>
      </c>
      <c r="AB43" s="128">
        <f t="shared" si="35"/>
        <v>0</v>
      </c>
      <c r="AC43" s="128">
        <f t="shared" si="35"/>
        <v>19814271.743610002</v>
      </c>
      <c r="AD43" s="128">
        <f t="shared" si="35"/>
        <v>13337776.22156</v>
      </c>
      <c r="AE43" s="128">
        <f t="shared" si="35"/>
        <v>1940557.82181</v>
      </c>
      <c r="AF43" s="127"/>
      <c r="AG43" s="127"/>
      <c r="AH43" s="127"/>
      <c r="AI43" s="124"/>
      <c r="AJ43" s="124"/>
      <c r="AK43" s="124"/>
      <c r="AL43" s="124"/>
      <c r="AM43" s="128">
        <f>SUM(AM10:AM42)</f>
        <v>616331.9</v>
      </c>
      <c r="AN43" s="128">
        <f>SUM(AN10:AN42)</f>
        <v>666869</v>
      </c>
      <c r="AO43" s="124"/>
      <c r="AP43" s="124"/>
      <c r="AQ43" s="124"/>
      <c r="AR43" s="124"/>
      <c r="AS43" s="128">
        <f>SUM(AS10:AS42)</f>
        <v>1370665.5000000002</v>
      </c>
      <c r="AT43" s="128">
        <f>SUM(AT10:AT42)</f>
        <v>1465775</v>
      </c>
      <c r="AU43" s="124"/>
      <c r="AV43" s="124"/>
      <c r="AW43" s="124"/>
      <c r="AX43" s="124"/>
      <c r="AY43" s="129"/>
    </row>
    <row r="44" ht="13.5" thickTop="1"/>
    <row r="45" ht="12.75">
      <c r="L45" s="10"/>
    </row>
  </sheetData>
  <sheetProtection/>
  <mergeCells count="14">
    <mergeCell ref="AM4:AR4"/>
    <mergeCell ref="AS4:AX4"/>
    <mergeCell ref="B5:D5"/>
    <mergeCell ref="I5:K5"/>
    <mergeCell ref="R5:T5"/>
    <mergeCell ref="Y5:AA5"/>
    <mergeCell ref="AM5:AN5"/>
    <mergeCell ref="AS5:AT5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2017-01-24T12:25:12Z</dcterms:created>
  <dcterms:modified xsi:type="dcterms:W3CDTF">2017-01-24T12:28:24Z</dcterms:modified>
  <cp:category/>
  <cp:version/>
  <cp:contentType/>
  <cp:contentStatus/>
</cp:coreProperties>
</file>