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80" windowHeight="1170" activeTab="0"/>
  </bookViews>
  <sheets>
    <sheet name="Документ" sheetId="1" r:id="rId1"/>
  </sheets>
  <definedNames>
    <definedName name="_xlnm._FilterDatabase" localSheetId="0" hidden="1">'Документ'!$A$4:$E$314</definedName>
    <definedName name="_xlnm.Print_Titles" localSheetId="0">'Документ'!$4:$5</definedName>
    <definedName name="_xlnm.Print_Area" localSheetId="0">'Документ'!$A$1:$K$315</definedName>
  </definedNames>
  <calcPr fullCalcOnLoad="1"/>
</workbook>
</file>

<file path=xl/sharedStrings.xml><?xml version="1.0" encoding="utf-8"?>
<sst xmlns="http://schemas.openxmlformats.org/spreadsheetml/2006/main" count="1316" uniqueCount="295">
  <si>
    <t>Наименование</t>
  </si>
  <si>
    <t>ГП</t>
  </si>
  <si>
    <t>ППГП</t>
  </si>
  <si>
    <t>ОМ</t>
  </si>
  <si>
    <t>ГРБС</t>
  </si>
  <si>
    <t>Профилактика правонарушений и противодействие преступности на территории Брянской области (2016 - 2020 годы)</t>
  </si>
  <si>
    <t>02</t>
  </si>
  <si>
    <t>0</t>
  </si>
  <si>
    <t>00</t>
  </si>
  <si>
    <t>21</t>
  </si>
  <si>
    <t>803</t>
  </si>
  <si>
    <t>814</t>
  </si>
  <si>
    <t>821</t>
  </si>
  <si>
    <t>31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</si>
  <si>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</si>
  <si>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</si>
  <si>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11</t>
  </si>
  <si>
    <t>12</t>
  </si>
  <si>
    <t>837</t>
  </si>
  <si>
    <t>32</t>
  </si>
  <si>
    <t>33</t>
  </si>
  <si>
    <t>819</t>
  </si>
  <si>
    <t>34</t>
  </si>
  <si>
    <t>830</t>
  </si>
  <si>
    <t>1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</si>
  <si>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</si>
  <si>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</si>
  <si>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</si>
  <si>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808</t>
  </si>
  <si>
    <t>41</t>
  </si>
  <si>
    <t>51</t>
  </si>
  <si>
    <t>Региональная политика Брянской области (2014 - 2020 годы)</t>
  </si>
  <si>
    <t>811</t>
  </si>
  <si>
    <t>Развитие топливно-энергетического комплекса и жилищно-коммунального хозяйства Брянской области (2014 - 2020 годы)</t>
  </si>
  <si>
    <t>804</t>
  </si>
  <si>
    <t>812</t>
  </si>
  <si>
    <t>Развитие здравоохранения Брянской области (2014 - 2020 годы)</t>
  </si>
  <si>
    <t>14</t>
  </si>
  <si>
    <t>13</t>
  </si>
  <si>
    <t>15</t>
  </si>
  <si>
    <t>16</t>
  </si>
  <si>
    <t>17</t>
  </si>
  <si>
    <t>18</t>
  </si>
  <si>
    <t>823</t>
  </si>
  <si>
    <t>Развитие культуры и туризма Брянской области (2014 - 2020 годы)</t>
  </si>
  <si>
    <t>815</t>
  </si>
  <si>
    <t>Развитие образования и науки Брянской области (2014 - 2020 годы)</t>
  </si>
  <si>
    <t>816</t>
  </si>
  <si>
    <t>26</t>
  </si>
  <si>
    <t>27</t>
  </si>
  <si>
    <t>28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</si>
  <si>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</si>
  <si>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817</t>
  </si>
  <si>
    <t>810</t>
  </si>
  <si>
    <t>2</t>
  </si>
  <si>
    <t>805</t>
  </si>
  <si>
    <t>3</t>
  </si>
  <si>
    <t>4</t>
  </si>
  <si>
    <t>5</t>
  </si>
  <si>
    <t>843</t>
  </si>
  <si>
    <t>6</t>
  </si>
  <si>
    <t>61</t>
  </si>
  <si>
    <t>62</t>
  </si>
  <si>
    <t>73</t>
  </si>
  <si>
    <t>7</t>
  </si>
  <si>
    <t>81</t>
  </si>
  <si>
    <t>8</t>
  </si>
  <si>
    <t>91</t>
  </si>
  <si>
    <t>9</t>
  </si>
  <si>
    <t>Б1</t>
  </si>
  <si>
    <t>А</t>
  </si>
  <si>
    <t>А1</t>
  </si>
  <si>
    <t>А2</t>
  </si>
  <si>
    <t>А3</t>
  </si>
  <si>
    <t>Б</t>
  </si>
  <si>
    <t>В1</t>
  </si>
  <si>
    <t>Г</t>
  </si>
  <si>
    <t>Г1</t>
  </si>
  <si>
    <t>Г2</t>
  </si>
  <si>
    <t>Д</t>
  </si>
  <si>
    <t>Д1</t>
  </si>
  <si>
    <t>Управление государственными финансами Брянской области (2014 - 2020 годы)</t>
  </si>
  <si>
    <t>818</t>
  </si>
  <si>
    <t>832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</si>
  <si>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</si>
  <si>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</si>
  <si>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</si>
  <si>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806</t>
  </si>
  <si>
    <t>Социальная и демографическая политика Брянской области (2014 - 2020 годы)</t>
  </si>
  <si>
    <t>825</t>
  </si>
  <si>
    <t>809</t>
  </si>
  <si>
    <t>71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</si>
  <si>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</si>
  <si>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</si>
  <si>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</si>
  <si>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</si>
  <si>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</si>
  <si>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</si>
  <si>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</si>
  <si>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836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</si>
  <si>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</si>
  <si>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</si>
  <si>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</si>
  <si>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</si>
  <si>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840</t>
  </si>
  <si>
    <t>824</t>
  </si>
  <si>
    <t>Непрограммная деятельность</t>
  </si>
  <si>
    <t>70</t>
  </si>
  <si>
    <t>801</t>
  </si>
  <si>
    <t>813</t>
  </si>
  <si>
    <t>826</t>
  </si>
  <si>
    <t>828</t>
  </si>
  <si>
    <t>(в рублях)</t>
  </si>
  <si>
    <t>Утверждено на 2016 год</t>
  </si>
  <si>
    <t>Уточненная бюджетная роспись                            на 2016 год</t>
  </si>
  <si>
    <t>Кассовое исполнение                             за 1 квартал                      2016 года</t>
  </si>
  <si>
    <t>Процент исполнения к уточненной бюджетной росписи</t>
  </si>
  <si>
    <t>ВСЕГО РАСХОДОВ: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</si>
  <si>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</si>
  <si>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Администрация Губернатора Брянской области и Правительства Брянской области</t>
  </si>
  <si>
    <t>Департамент здравоохранения Брянской области</t>
  </si>
  <si>
    <t>Департамент семьи, социальной и демографической политики Брянской области</t>
  </si>
  <si>
    <t>Повышение безопасности дорожного движения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</si>
  <si>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</si>
  <si>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</si>
  <si>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Обеспечение мобилизационной готовности специальных объектов и формирований, выполнение мероприятий по гражданской обороне</t>
  </si>
  <si>
    <t>Департамент промышленности, транспорта и связи Брянской области</t>
  </si>
  <si>
    <t>Обеспечение первичного воинского учета на территориях, где отсутствуют военные комиссариаты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</si>
  <si>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</si>
  <si>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Департамент строительства и архитектуры Брянской области</t>
  </si>
  <si>
    <t>Укрепление пожарной безопасности в населенных пунктах Брянской области</t>
  </si>
  <si>
    <t>Подпрограмма "Реформирование государственной гражданской службы и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</si>
  <si>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</si>
  <si>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</t>
  </si>
  <si>
    <t>Реализация единой государственной политики в сфере природных ресурсов и экологии на территории Брянской области</t>
  </si>
  <si>
    <t>Департамент природных ресурсов и экологии Брянской области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</si>
  <si>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</si>
  <si>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</si>
  <si>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Восстановление и экологическая реабилитация водных объектов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</si>
  <si>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</si>
  <si>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</si>
  <si>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</si>
  <si>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Департамент внутренней политики Брянской области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</si>
  <si>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</si>
  <si>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</si>
  <si>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Эффективное управление в сфере установленных функций и полномочий</t>
  </si>
  <si>
    <t>Государственная жилищная инспекция Брянской области</t>
  </si>
  <si>
    <t>Департамент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</si>
  <si>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</si>
  <si>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</si>
  <si>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</si>
  <si>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</si>
  <si>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Реализация единой государственной политики в сфере здравоохранения на территории Брянской области</t>
  </si>
  <si>
    <t>Повышение доступности и качества оказания медицинской помощи гражданам</t>
  </si>
  <si>
    <t>Обеспечение безопасности и качества донорской крови и ее компонентов</t>
  </si>
  <si>
    <t>Развитие медицинской реабилитации населения и совершенствование системы санаторно-курортного лечения, в том числе детей</t>
  </si>
  <si>
    <t>Развитие кадрового потенциала сферы здравоохранения и реализация мер государственной поддержки медицинских работников</t>
  </si>
  <si>
    <t>Обеспечение граждан лекарственными препаратами и оказание отдельных видов медицинских услуг</t>
  </si>
  <si>
    <t>Развитие системы обязательного медицинского страхования в Брянской области</t>
  </si>
  <si>
    <t>Развитие инфраструктуры сферы здравоохранения</t>
  </si>
  <si>
    <t>Создание условий для участия граждан в культурной жизни</t>
  </si>
  <si>
    <t>Департамент культуры Брянской области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</si>
  <si>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</si>
  <si>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</si>
  <si>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Обеспечение свободы творчества и прав граждан на участие в культурной жизни, на равный доступ к культурным ценностям</t>
  </si>
  <si>
    <t>Обеспечение сохранности, пополнения и использования архивных фондов Брянской области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</si>
  <si>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</si>
  <si>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</si>
  <si>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Реализация государственной политики в сфере образования на территории Брянской области</t>
  </si>
  <si>
    <t>Департамент образования и науки Брянской области</t>
  </si>
  <si>
    <t>Повышение доступности и качества предоставления дошкольного, общего образования, дополнительного образования детей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</si>
  <si>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</si>
  <si>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</si>
  <si>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кадрового потенциала сферы образования и реализация мер государственной поддержки работников образования</t>
  </si>
  <si>
    <t>Создание условий успешной социализации и эффективной самореализации молодежи</t>
  </si>
  <si>
    <t>Проведение оздоровительной кампании детей и молодежи</t>
  </si>
  <si>
    <t>Осуществление государственной поддержки молодых семей в улучшении жилищных условий</t>
  </si>
  <si>
    <t>Подпрограмма "Развитие подотрасли растениеводства, переработки и реализации продукции растениеводства" (2014 - 2020 годы)</t>
  </si>
  <si>
    <t>Увеличение объемов производства и переработки основных видов продукции растениеводства, увеличение экспортного потенциала продукции растениеводства и продуктов ее переработки</t>
  </si>
  <si>
    <t>Департамент сельского хозяйства Брянской области</t>
  </si>
  <si>
    <t>Подпрограмма "Развитие подотрасли животноводства, переработки и реализации продукции животноводства" (2014 - 2020 годы)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</si>
  <si>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</si>
  <si>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Управление ветеринарии Брянской области</t>
  </si>
  <si>
    <t>Подпрограмма "Развитие мясного скотоводства" (2014 - 2020 годы)</t>
  </si>
  <si>
    <t>Увеличение поголовья животных специализированных мясных пород и помесных животных с внедрением новых технологий их содержания и кормления</t>
  </si>
  <si>
    <t>Подпрограмма "Поддержка малых форм хозяйствования" (2014 - 2020 годы)</t>
  </si>
  <si>
    <t>Создание условий для увеличения количества субъектов малого предпринимательства; повышение эффективности использования земельных участков из земель сельскохозяйственного назначения; повышение уровня доходов сельского населения</t>
  </si>
  <si>
    <t>Подпрограмма "Обеспечение реализации государственной программы" (2014 - 2020 годы)</t>
  </si>
  <si>
    <t>Обеспечение эффективной деятельности органов государственной власти в сфере развития сельского хозяйства и сельских территорий,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продукции; обеспечение деятельности подведомственных учреждений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</si>
  <si>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</si>
  <si>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</si>
  <si>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</si>
  <si>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Увеличение поставки новой сельскохозяйственной техники и оборудования, внедрение лизинга на региональном уровне</t>
  </si>
  <si>
    <t>Создание областного резерва высококвалифицированных специалистов, способных возглавить сельскохозяйственные предприятия, организация их профессиональной подготовки</t>
  </si>
  <si>
    <t>Подпрограмма "Устойчивое развитие сельских территорий" (2014 - 2020 годы)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</si>
  <si>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</si>
  <si>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Подпрограмма "Развитие мелиорации земель сельскохозяйственного назначения Брянской области" (2014 - 2020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</si>
  <si>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</t>
  </si>
  <si>
    <t>Подпрограмма "Развитие овощеводства открытого и защищенного грунта и семенного картофелеводства" (2015 - 2020 годы)</t>
  </si>
  <si>
    <t>Увеличение производства в сельскохозяйственных организациях, крестьянских (фермерских) хозяйствах, включая индивидуальных предпринимателей, семенного картофеля, овощей открытого и защищенного грунта</t>
  </si>
  <si>
    <t>Подпрограмма "Реализация полномочий в области ветеринарии" (2014 - 2020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</si>
  <si>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</si>
  <si>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Выполнение функций по эффективному ветеринарному обслуживанию и контролю</t>
  </si>
  <si>
    <t>Предупреждение и ликвидация заразных и иных болезней животных</t>
  </si>
  <si>
    <t>Подпрограмма "Развитие молочного скотоводства" (2015 - 2020 годы)</t>
  </si>
  <si>
    <t>Повышение инвестиционной привлекательности молочного скотоводства, увеличение поголовья крупного рогатого скота, в том числе коров, повышение товарности молока, создание условий для комплексного развития и повышения эффективности производства, конкурентоспособности отечественного молока-сырья и продуктов его переработки</t>
  </si>
  <si>
    <t>Подпрограмма "Поддержка племенного дела, селекции и семеноводства" (2015 - 2020 годы)</t>
  </si>
  <si>
    <t>Модернизация материально-технической и технологической базы животноводства, селекции и семеноводства</t>
  </si>
  <si>
    <t>Развитие племенной базы животноводства</t>
  </si>
  <si>
    <t>Подпрограмма "Развитие оптово-распределительных центров" (2016 - 2020 годы)</t>
  </si>
  <si>
    <t>Увеличение закупок сельскохозяйственного сырья для переработки предприятиями перерабатывающей промышленности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</si>
  <si>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</si>
  <si>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</si>
  <si>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</si>
  <si>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</si>
  <si>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Управление государственной службы по труду и занятости населения Брянской области</t>
  </si>
  <si>
    <t>Создание условий для эффективного и ответственного управления муниципальными финансами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</si>
  <si>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</si>
  <si>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</si>
  <si>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</si>
  <si>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</si>
  <si>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</si>
  <si>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</si>
  <si>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</si>
  <si>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</si>
  <si>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</si>
  <si>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</si>
  <si>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</si>
  <si>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</si>
  <si>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</si>
  <si>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</si>
  <si>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</si>
  <si>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</si>
  <si>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</si>
  <si>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Защита прав и законных интересов несовершеннолетних, лиц из числа детей-сирот и детей, оставшихся без попечения родителей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</si>
  <si>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</si>
  <si>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</si>
  <si>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Подпрограмма "Доступная среда" (2014 - 2020 годы)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</si>
  <si>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Брянской области</t>
  </si>
  <si>
    <t>Управление физической культуры и спорта Брянской области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</si>
  <si>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</si>
  <si>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</si>
  <si>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</si>
  <si>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</si>
  <si>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</si>
  <si>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</si>
  <si>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</si>
  <si>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Реализация единой государственной политики в сфере физической культуры и спорта на территории Брянской области</t>
  </si>
  <si>
    <t>Популяризация массового и профессионального спорта</t>
  </si>
  <si>
    <t>Создание эффективной системы физического воспитания, ориентированной на особенности развития детей и подростков</t>
  </si>
  <si>
    <t>Развитие инфраструктуры сферы физической культуры и спорта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</si>
  <si>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</si>
  <si>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</si>
  <si>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</si>
  <si>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</si>
  <si>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Обеспечение социальной поддержки безработных граждан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</si>
  <si>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</si>
  <si>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</si>
  <si>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</si>
  <si>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</si>
  <si>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Повышение эффективности управления лесами</t>
  </si>
  <si>
    <t>Управление лесами Брянской области</t>
  </si>
  <si>
    <t>Сокращение потерь лесного хозяйства от пожаров, вредных организмов и незаконных рубок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</si>
  <si>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</si>
  <si>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</si>
  <si>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Государственная инспекция по надзору за техническим состоянием самоходных машин и других видов техники Брянской области</t>
  </si>
  <si>
    <t>Совершенствование системы управления пассажирскими перевозками</t>
  </si>
  <si>
    <t>Создание условий для осуществления регулярных и чартерных пассажирских авиаперевозок в международном аэропорту</t>
  </si>
  <si>
    <t>Оптимизация структуры и обновление подвижного состава автотранспортных предприятий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</si>
  <si>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</si>
  <si>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</si>
  <si>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Департамент экономического развития Брянской области</t>
  </si>
  <si>
    <t>Развитие инновационной деятельности и нанотехнологий в Брянской области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</si>
  <si>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</si>
  <si>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</si>
  <si>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</si>
  <si>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</si>
  <si>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</si>
  <si>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</si>
  <si>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</si>
  <si>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</si>
  <si>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</si>
  <si>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</si>
  <si>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Управление государственного регулирования тарифов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</si>
  <si>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</si>
  <si>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</si>
  <si>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</si>
  <si>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Брянская областная  Дума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</si>
  <si>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</si>
  <si>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Контрольно-счетная палата Брянской области</t>
  </si>
  <si>
    <t>Избирательная комиссия Брянской области</t>
  </si>
  <si>
    <t>Подпрограмма "Межбюджетные отношения с муниципальными образованиями" (2014 - 2020 годы)</t>
  </si>
  <si>
    <t xml:space="preserve">Расходы областного бюджета Брянской области по государственным программам за 1 квартал 2016 года
</t>
  </si>
  <si>
    <t>Кассовое исполнение                             за 1 квартал                      2015 года</t>
  </si>
  <si>
    <t>Темп роста 2016 к соответствующему периоду 2015,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</si>
</sst>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 locked="0"/>
    </xf>
    <xf numFmtId="0" fontId="31" fillId="0" borderId="0" xfId="42" applyNumberFormat="1" applyProtection="1">
      <alignment horizontal="center"/>
      <protection locked="0"/>
    </xf>
    <xf numFmtId="0" fontId="30" fillId="0" borderId="0" xfId="44" applyNumberFormat="1" applyProtection="1">
      <alignment horizontal="right"/>
      <protection locked="0"/>
    </xf>
    <xf numFmtId="0" fontId="30" fillId="0" borderId="4" xfId="53" applyNumberFormat="1" applyProtection="1">
      <alignment/>
      <protection locked="0"/>
    </xf>
    <xf numFmtId="0" fontId="30" fillId="0" borderId="4" xfId="53" applyNumberForma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0" fillId="0" borderId="0" xfId="39" applyNumberFormat="1" applyAlignment="1" applyProtection="1">
      <alignment vertical="top" wrapText="1"/>
      <protection locked="0"/>
    </xf>
    <xf numFmtId="0" fontId="30" fillId="0" borderId="0" xfId="39" applyAlignment="1">
      <alignment vertical="top" wrapText="1"/>
      <protection/>
    </xf>
    <xf numFmtId="49" fontId="48" fillId="0" borderId="2" xfId="55" applyNumberFormat="1" applyFont="1" applyProtection="1">
      <alignment horizontal="left" vertical="top" wrapText="1"/>
      <protection locked="0"/>
    </xf>
    <xf numFmtId="4" fontId="48" fillId="0" borderId="2" xfId="56" applyNumberFormat="1" applyFont="1" applyFill="1" applyProtection="1">
      <alignment horizontal="right" vertical="top" shrinkToFit="1"/>
      <protection locked="0"/>
    </xf>
    <xf numFmtId="0" fontId="49" fillId="0" borderId="2" xfId="50" applyNumberFormat="1" applyFont="1" applyProtection="1">
      <alignment horizontal="left"/>
      <protection locked="0"/>
    </xf>
    <xf numFmtId="0" fontId="49" fillId="0" borderId="2" xfId="50" applyNumberFormat="1" applyFont="1" applyAlignment="1" applyProtection="1">
      <alignment horizontal="left" vertical="center"/>
      <protection locked="0"/>
    </xf>
    <xf numFmtId="4" fontId="49" fillId="0" borderId="2" xfId="51" applyNumberFormat="1" applyFont="1" applyFill="1" applyAlignment="1" applyProtection="1">
      <alignment horizontal="right" vertical="center" shrinkToFit="1"/>
      <protection locked="0"/>
    </xf>
    <xf numFmtId="0" fontId="48" fillId="36" borderId="0" xfId="0" applyFont="1" applyFill="1" applyAlignment="1">
      <alignment horizontal="left" vertical="top" wrapText="1"/>
    </xf>
    <xf numFmtId="172" fontId="48" fillId="0" borderId="2" xfId="56" applyNumberFormat="1" applyFont="1" applyFill="1" applyProtection="1">
      <alignment horizontal="right" vertical="top" shrinkToFit="1"/>
      <protection locked="0"/>
    </xf>
    <xf numFmtId="172" fontId="49" fillId="0" borderId="2" xfId="56" applyNumberFormat="1" applyFont="1" applyFill="1" applyAlignment="1" applyProtection="1">
      <alignment horizontal="right" vertical="center" shrinkToFit="1"/>
      <protection locked="0"/>
    </xf>
    <xf numFmtId="49" fontId="49" fillId="0" borderId="2" xfId="55" applyNumberFormat="1" applyFont="1" applyProtection="1">
      <alignment horizontal="left" vertical="top" wrapText="1"/>
      <protection locked="0"/>
    </xf>
    <xf numFmtId="4" fontId="49" fillId="0" borderId="2" xfId="56" applyNumberFormat="1" applyFont="1" applyFill="1" applyProtection="1">
      <alignment horizontal="right" vertical="top" shrinkToFit="1"/>
      <protection locked="0"/>
    </xf>
    <xf numFmtId="172" fontId="49" fillId="0" borderId="2" xfId="56" applyNumberFormat="1" applyFont="1" applyFill="1" applyProtection="1">
      <alignment horizontal="right" vertical="top" shrinkToFit="1"/>
      <protection locked="0"/>
    </xf>
    <xf numFmtId="4" fontId="49" fillId="0" borderId="2" xfId="56" applyNumberFormat="1" applyFont="1" applyFill="1" applyAlignment="1" applyProtection="1">
      <alignment horizontal="right" vertical="center" shrinkToFit="1"/>
      <protection locked="0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0" fillId="0" borderId="0" xfId="41" applyNumberFormat="1" applyFont="1" applyBorder="1" applyAlignment="1" applyProtection="1">
      <alignment horizontal="center" vertical="top" wrapText="1"/>
      <protection locked="0"/>
    </xf>
    <xf numFmtId="0" fontId="48" fillId="0" borderId="17" xfId="44" applyNumberFormat="1" applyFont="1" applyBorder="1" applyAlignment="1" applyProtection="1">
      <alignment horizontal="right"/>
      <protection locked="0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showGridLines="0" tabSelected="1" view="pageBreakPreview" zoomScale="90" zoomScaleSheetLayoutView="90" zoomScalePageLayoutView="0" workbookViewId="0" topLeftCell="A1">
      <selection activeCell="C311" sqref="C311"/>
    </sheetView>
  </sheetViews>
  <sheetFormatPr defaultColWidth="9.140625" defaultRowHeight="15" outlineLevelRow="3"/>
  <cols>
    <col min="1" max="1" width="64.7109375" style="1" customWidth="1"/>
    <col min="2" max="2" width="4.421875" style="1" customWidth="1"/>
    <col min="3" max="3" width="7.28125" style="1" customWidth="1"/>
    <col min="4" max="4" width="4.8515625" style="1" customWidth="1"/>
    <col min="5" max="5" width="6.28125" style="1" customWidth="1"/>
    <col min="6" max="6" width="17.8515625" style="1" customWidth="1"/>
    <col min="7" max="7" width="18.8515625" style="1" customWidth="1"/>
    <col min="8" max="8" width="19.28125" style="7" customWidth="1"/>
    <col min="9" max="9" width="16.7109375" style="7" customWidth="1"/>
    <col min="10" max="10" width="13.421875" style="7" customWidth="1"/>
    <col min="11" max="11" width="12.8515625" style="1" customWidth="1"/>
    <col min="12" max="12" width="6.57421875" style="1" customWidth="1"/>
    <col min="13" max="13" width="0.13671875" style="1" customWidth="1"/>
    <col min="14" max="14" width="4.7109375" style="1" customWidth="1"/>
    <col min="15" max="15" width="6.421875" style="1" customWidth="1"/>
    <col min="16" max="16" width="6.00390625" style="1" customWidth="1"/>
    <col min="17" max="17" width="9.140625" style="1" customWidth="1"/>
    <col min="18" max="16384" width="9.140625" style="1" customWidth="1"/>
  </cols>
  <sheetData>
    <row r="1" spans="1:17" ht="10.5" customHeight="1">
      <c r="A1" s="8"/>
      <c r="B1" s="9"/>
      <c r="C1" s="9"/>
      <c r="D1" s="9"/>
      <c r="E1" s="9"/>
      <c r="F1" s="9"/>
      <c r="G1" s="9"/>
      <c r="H1" s="15"/>
      <c r="I1" s="15"/>
      <c r="J1" s="15"/>
      <c r="K1" s="2"/>
      <c r="L1" s="2"/>
      <c r="M1" s="2"/>
      <c r="N1" s="2"/>
      <c r="O1" s="2"/>
      <c r="P1" s="2"/>
      <c r="Q1" s="2"/>
    </row>
    <row r="2" spans="1:17" ht="18.75" customHeight="1">
      <c r="A2" s="26" t="s">
        <v>292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"/>
      <c r="M2" s="3"/>
      <c r="N2" s="3"/>
      <c r="O2" s="3"/>
      <c r="P2" s="3"/>
      <c r="Q2" s="3"/>
    </row>
    <row r="3" spans="1:17" ht="15.75">
      <c r="A3" s="27" t="s">
        <v>112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4"/>
      <c r="M3" s="4"/>
      <c r="N3" s="4"/>
      <c r="O3" s="4"/>
      <c r="P3" s="4"/>
      <c r="Q3" s="4"/>
    </row>
    <row r="4" spans="1:17" ht="55.5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4" t="s">
        <v>293</v>
      </c>
      <c r="G4" s="22" t="s">
        <v>113</v>
      </c>
      <c r="H4" s="24" t="s">
        <v>114</v>
      </c>
      <c r="I4" s="24" t="s">
        <v>115</v>
      </c>
      <c r="J4" s="24" t="s">
        <v>116</v>
      </c>
      <c r="K4" s="24" t="s">
        <v>294</v>
      </c>
      <c r="L4" s="2"/>
      <c r="M4" s="2"/>
      <c r="N4" s="2"/>
      <c r="O4" s="2"/>
      <c r="P4" s="2"/>
      <c r="Q4" s="2"/>
    </row>
    <row r="5" spans="1:17" ht="42.75" customHeight="1">
      <c r="A5" s="23"/>
      <c r="B5" s="23"/>
      <c r="C5" s="23"/>
      <c r="D5" s="23"/>
      <c r="E5" s="23"/>
      <c r="F5" s="25"/>
      <c r="G5" s="23"/>
      <c r="H5" s="25"/>
      <c r="I5" s="25"/>
      <c r="J5" s="25"/>
      <c r="K5" s="25"/>
      <c r="L5" s="2"/>
      <c r="M5" s="2"/>
      <c r="N5" s="2"/>
      <c r="O5" s="2"/>
      <c r="P5" s="2"/>
      <c r="Q5" s="2"/>
    </row>
    <row r="6" spans="1:18" ht="47.25">
      <c r="A6" s="18" t="s">
        <v>5</v>
      </c>
      <c r="B6" s="18" t="s">
        <v>6</v>
      </c>
      <c r="C6" s="18"/>
      <c r="D6" s="18"/>
      <c r="E6" s="18"/>
      <c r="F6" s="19">
        <f>F7+F11</f>
        <v>26422820.21</v>
      </c>
      <c r="G6" s="19">
        <f>G7+G11</f>
        <v>91157501.6</v>
      </c>
      <c r="H6" s="19">
        <v>91157501.6</v>
      </c>
      <c r="I6" s="19">
        <v>17832577.5</v>
      </c>
      <c r="J6" s="20">
        <f>I6/H6*100</f>
        <v>19.562380700438155</v>
      </c>
      <c r="K6" s="20">
        <f>I6/F6*100</f>
        <v>67.48930416311529</v>
      </c>
      <c r="L6" s="2"/>
      <c r="M6" s="2"/>
      <c r="N6" s="2"/>
      <c r="O6" s="2"/>
      <c r="P6" s="2"/>
      <c r="Q6" s="2"/>
      <c r="R6" s="2"/>
    </row>
    <row r="7" spans="1:18" ht="63" outlineLevel="2">
      <c r="A7" s="18" t="s">
        <v>118</v>
      </c>
      <c r="B7" s="18" t="s">
        <v>6</v>
      </c>
      <c r="C7" s="18" t="s">
        <v>7</v>
      </c>
      <c r="D7" s="18" t="s">
        <v>9</v>
      </c>
      <c r="E7" s="18"/>
      <c r="F7" s="19">
        <f>F8</f>
        <v>9557830</v>
      </c>
      <c r="G7" s="19">
        <f>G8+G9+G10</f>
        <v>44768601.6</v>
      </c>
      <c r="H7" s="19">
        <v>44768601.6</v>
      </c>
      <c r="I7" s="19">
        <v>7798704.26</v>
      </c>
      <c r="J7" s="20">
        <f aca="true" t="shared" si="0" ref="J7:J17">I7/H7*100</f>
        <v>17.42003096205712</v>
      </c>
      <c r="K7" s="20">
        <f aca="true" t="shared" si="1" ref="K7:K70">I7/F7*100</f>
        <v>81.59492541717105</v>
      </c>
      <c r="L7" s="2"/>
      <c r="M7" s="2"/>
      <c r="N7" s="2"/>
      <c r="O7" s="2"/>
      <c r="P7" s="2"/>
      <c r="Q7" s="2"/>
      <c r="R7" s="2"/>
    </row>
    <row r="8" spans="1:18" ht="31.5" outlineLevel="3">
      <c r="A8" s="10" t="s">
        <v>119</v>
      </c>
      <c r="B8" s="10" t="s">
        <v>6</v>
      </c>
      <c r="C8" s="10" t="s">
        <v>7</v>
      </c>
      <c r="D8" s="10" t="s">
        <v>9</v>
      </c>
      <c r="E8" s="10" t="s">
        <v>10</v>
      </c>
      <c r="F8" s="11">
        <f>126000+9431830</f>
        <v>9557830</v>
      </c>
      <c r="G8" s="11">
        <v>42868601.6</v>
      </c>
      <c r="H8" s="11">
        <v>42868601.6</v>
      </c>
      <c r="I8" s="11">
        <v>7798704.26</v>
      </c>
      <c r="J8" s="16">
        <f t="shared" si="0"/>
        <v>18.19211256940091</v>
      </c>
      <c r="K8" s="16">
        <f t="shared" si="1"/>
        <v>81.59492541717105</v>
      </c>
      <c r="L8" s="2"/>
      <c r="M8" s="2"/>
      <c r="N8" s="2"/>
      <c r="O8" s="2"/>
      <c r="P8" s="2"/>
      <c r="Q8" s="2"/>
      <c r="R8" s="2"/>
    </row>
    <row r="9" spans="1:18" ht="15.75" outlineLevel="3">
      <c r="A9" s="10" t="s">
        <v>120</v>
      </c>
      <c r="B9" s="10" t="s">
        <v>6</v>
      </c>
      <c r="C9" s="10" t="s">
        <v>7</v>
      </c>
      <c r="D9" s="10" t="s">
        <v>9</v>
      </c>
      <c r="E9" s="10" t="s">
        <v>11</v>
      </c>
      <c r="F9" s="11">
        <v>0</v>
      </c>
      <c r="G9" s="11">
        <v>1800000</v>
      </c>
      <c r="H9" s="11">
        <v>1800000</v>
      </c>
      <c r="I9" s="11">
        <v>0</v>
      </c>
      <c r="J9" s="16">
        <f t="shared" si="0"/>
        <v>0</v>
      </c>
      <c r="K9" s="16"/>
      <c r="L9" s="2"/>
      <c r="M9" s="2"/>
      <c r="N9" s="2"/>
      <c r="O9" s="2"/>
      <c r="P9" s="2"/>
      <c r="Q9" s="2"/>
      <c r="R9" s="2"/>
    </row>
    <row r="10" spans="1:18" ht="31.5" outlineLevel="3">
      <c r="A10" s="10" t="s">
        <v>121</v>
      </c>
      <c r="B10" s="10" t="s">
        <v>6</v>
      </c>
      <c r="C10" s="10" t="s">
        <v>7</v>
      </c>
      <c r="D10" s="10" t="s">
        <v>9</v>
      </c>
      <c r="E10" s="10" t="s">
        <v>12</v>
      </c>
      <c r="F10" s="11">
        <v>0</v>
      </c>
      <c r="G10" s="11">
        <v>100000</v>
      </c>
      <c r="H10" s="11">
        <v>100000</v>
      </c>
      <c r="I10" s="11">
        <v>0</v>
      </c>
      <c r="J10" s="16">
        <f t="shared" si="0"/>
        <v>0</v>
      </c>
      <c r="K10" s="16"/>
      <c r="L10" s="2"/>
      <c r="M10" s="2"/>
      <c r="N10" s="2"/>
      <c r="O10" s="2"/>
      <c r="P10" s="2"/>
      <c r="Q10" s="2"/>
      <c r="R10" s="2"/>
    </row>
    <row r="11" spans="1:18" ht="15.75" outlineLevel="2">
      <c r="A11" s="18" t="s">
        <v>122</v>
      </c>
      <c r="B11" s="18" t="s">
        <v>6</v>
      </c>
      <c r="C11" s="18" t="s">
        <v>7</v>
      </c>
      <c r="D11" s="18" t="s">
        <v>13</v>
      </c>
      <c r="E11" s="18"/>
      <c r="F11" s="19">
        <f>F14</f>
        <v>16864990.21</v>
      </c>
      <c r="G11" s="19">
        <f>G12+G13</f>
        <v>46388900</v>
      </c>
      <c r="H11" s="19">
        <v>46388900</v>
      </c>
      <c r="I11" s="19">
        <v>10033873.24</v>
      </c>
      <c r="J11" s="20">
        <f t="shared" si="0"/>
        <v>21.629901204814082</v>
      </c>
      <c r="K11" s="20">
        <f t="shared" si="1"/>
        <v>59.49528054899476</v>
      </c>
      <c r="L11" s="2"/>
      <c r="M11" s="2"/>
      <c r="N11" s="2"/>
      <c r="O11" s="2"/>
      <c r="P11" s="2"/>
      <c r="Q11" s="2"/>
      <c r="R11" s="2"/>
    </row>
    <row r="12" spans="1:18" ht="31.5" outlineLevel="3">
      <c r="A12" s="10" t="s">
        <v>119</v>
      </c>
      <c r="B12" s="10" t="s">
        <v>6</v>
      </c>
      <c r="C12" s="10" t="s">
        <v>7</v>
      </c>
      <c r="D12" s="10" t="s">
        <v>13</v>
      </c>
      <c r="E12" s="10" t="s">
        <v>10</v>
      </c>
      <c r="F12" s="11">
        <v>0</v>
      </c>
      <c r="G12" s="11">
        <v>46138900</v>
      </c>
      <c r="H12" s="11">
        <v>46138900</v>
      </c>
      <c r="I12" s="11">
        <v>9785317.68</v>
      </c>
      <c r="J12" s="16">
        <f t="shared" si="0"/>
        <v>21.208389623506413</v>
      </c>
      <c r="K12" s="16"/>
      <c r="L12" s="2"/>
      <c r="M12" s="2"/>
      <c r="N12" s="2"/>
      <c r="O12" s="2"/>
      <c r="P12" s="2"/>
      <c r="Q12" s="2"/>
      <c r="R12" s="2"/>
    </row>
    <row r="13" spans="1:18" ht="15.75" outlineLevel="3">
      <c r="A13" s="10" t="s">
        <v>120</v>
      </c>
      <c r="B13" s="10" t="s">
        <v>6</v>
      </c>
      <c r="C13" s="10" t="s">
        <v>7</v>
      </c>
      <c r="D13" s="10" t="s">
        <v>13</v>
      </c>
      <c r="E13" s="10" t="s">
        <v>11</v>
      </c>
      <c r="F13" s="11">
        <v>0</v>
      </c>
      <c r="G13" s="11">
        <v>250000</v>
      </c>
      <c r="H13" s="11">
        <v>250000</v>
      </c>
      <c r="I13" s="11">
        <v>248555.56</v>
      </c>
      <c r="J13" s="16">
        <f t="shared" si="0"/>
        <v>99.422224</v>
      </c>
      <c r="K13" s="16"/>
      <c r="L13" s="2"/>
      <c r="M13" s="2"/>
      <c r="N13" s="2"/>
      <c r="O13" s="2"/>
      <c r="P13" s="2"/>
      <c r="Q13" s="2"/>
      <c r="R13" s="2"/>
    </row>
    <row r="14" spans="1:18" ht="16.5" customHeight="1" outlineLevel="3">
      <c r="A14" s="10" t="s">
        <v>129</v>
      </c>
      <c r="B14" s="10" t="s">
        <v>6</v>
      </c>
      <c r="C14" s="10" t="s">
        <v>7</v>
      </c>
      <c r="D14" s="10" t="s">
        <v>13</v>
      </c>
      <c r="E14" s="10" t="s">
        <v>21</v>
      </c>
      <c r="F14" s="11">
        <v>16864990.21</v>
      </c>
      <c r="G14" s="11">
        <v>0</v>
      </c>
      <c r="H14" s="11">
        <v>0</v>
      </c>
      <c r="I14" s="11">
        <v>0</v>
      </c>
      <c r="J14" s="16"/>
      <c r="K14" s="16">
        <f t="shared" si="1"/>
        <v>0</v>
      </c>
      <c r="L14" s="2"/>
      <c r="M14" s="2"/>
      <c r="N14" s="2"/>
      <c r="O14" s="2"/>
      <c r="P14" s="2"/>
      <c r="Q14" s="2"/>
      <c r="R14" s="2"/>
    </row>
    <row r="15" spans="1:18" ht="47.25">
      <c r="A15" s="18" t="s">
        <v>14</v>
      </c>
      <c r="B15" s="18" t="s">
        <v>15</v>
      </c>
      <c r="C15" s="18"/>
      <c r="D15" s="18"/>
      <c r="E15" s="18"/>
      <c r="F15" s="19">
        <f>F16+F18+F20+F24+F26+F29</f>
        <v>178395753.6</v>
      </c>
      <c r="G15" s="19">
        <f>G16+G18+G20+G24+G26+G29+G31</f>
        <v>783485846.41</v>
      </c>
      <c r="H15" s="19">
        <v>783485846.41</v>
      </c>
      <c r="I15" s="19">
        <v>192300460.76</v>
      </c>
      <c r="J15" s="20">
        <f t="shared" si="0"/>
        <v>24.544216291990132</v>
      </c>
      <c r="K15" s="20">
        <f t="shared" si="1"/>
        <v>107.79430388863247</v>
      </c>
      <c r="L15" s="2"/>
      <c r="M15" s="2"/>
      <c r="N15" s="2"/>
      <c r="O15" s="2"/>
      <c r="P15" s="2"/>
      <c r="Q15" s="2"/>
      <c r="R15" s="2"/>
    </row>
    <row r="16" spans="1:18" ht="47.25" outlineLevel="2">
      <c r="A16" s="18" t="s">
        <v>123</v>
      </c>
      <c r="B16" s="18" t="s">
        <v>15</v>
      </c>
      <c r="C16" s="18" t="s">
        <v>7</v>
      </c>
      <c r="D16" s="18" t="s">
        <v>16</v>
      </c>
      <c r="E16" s="18"/>
      <c r="F16" s="19">
        <f>F17</f>
        <v>84322536.6</v>
      </c>
      <c r="G16" s="19">
        <f>G17</f>
        <v>393817329.4</v>
      </c>
      <c r="H16" s="19">
        <v>393817329.4</v>
      </c>
      <c r="I16" s="19">
        <v>95680266.83</v>
      </c>
      <c r="J16" s="20">
        <f t="shared" si="0"/>
        <v>24.29559587328815</v>
      </c>
      <c r="K16" s="20">
        <f t="shared" si="1"/>
        <v>113.46938871618339</v>
      </c>
      <c r="L16" s="2"/>
      <c r="M16" s="2"/>
      <c r="N16" s="2"/>
      <c r="O16" s="2"/>
      <c r="P16" s="2"/>
      <c r="Q16" s="2"/>
      <c r="R16" s="2"/>
    </row>
    <row r="17" spans="1:18" ht="31.5" outlineLevel="3">
      <c r="A17" s="10" t="s">
        <v>119</v>
      </c>
      <c r="B17" s="10" t="s">
        <v>15</v>
      </c>
      <c r="C17" s="10" t="s">
        <v>7</v>
      </c>
      <c r="D17" s="10" t="s">
        <v>16</v>
      </c>
      <c r="E17" s="10" t="s">
        <v>10</v>
      </c>
      <c r="F17" s="11">
        <f>716066.86+5483348.52+33504756.37+279200+28313206.44+13330230+2089448.41+606280</f>
        <v>84322536.6</v>
      </c>
      <c r="G17" s="11">
        <v>393817329.4</v>
      </c>
      <c r="H17" s="11">
        <v>393817329.4</v>
      </c>
      <c r="I17" s="11">
        <v>95680266.83</v>
      </c>
      <c r="J17" s="16">
        <f t="shared" si="0"/>
        <v>24.29559587328815</v>
      </c>
      <c r="K17" s="16">
        <f t="shared" si="1"/>
        <v>113.46938871618339</v>
      </c>
      <c r="L17" s="2"/>
      <c r="M17" s="2"/>
      <c r="N17" s="2"/>
      <c r="O17" s="2"/>
      <c r="P17" s="2"/>
      <c r="Q17" s="2"/>
      <c r="R17" s="2"/>
    </row>
    <row r="18" spans="1:18" ht="47.25" outlineLevel="2">
      <c r="A18" s="18" t="s">
        <v>124</v>
      </c>
      <c r="B18" s="18" t="s">
        <v>15</v>
      </c>
      <c r="C18" s="18" t="s">
        <v>7</v>
      </c>
      <c r="D18" s="18" t="s">
        <v>17</v>
      </c>
      <c r="E18" s="18"/>
      <c r="F18" s="19">
        <f>F19</f>
        <v>1566190.46</v>
      </c>
      <c r="G18" s="19">
        <f>G19</f>
        <v>10763900</v>
      </c>
      <c r="H18" s="19">
        <v>10763900</v>
      </c>
      <c r="I18" s="19">
        <v>1307617.89</v>
      </c>
      <c r="J18" s="20">
        <f>I18/H18*100</f>
        <v>12.148179470266353</v>
      </c>
      <c r="K18" s="20">
        <f t="shared" si="1"/>
        <v>83.49034957089447</v>
      </c>
      <c r="L18" s="2"/>
      <c r="M18" s="2"/>
      <c r="N18" s="2"/>
      <c r="O18" s="2"/>
      <c r="P18" s="2"/>
      <c r="Q18" s="2"/>
      <c r="R18" s="2"/>
    </row>
    <row r="19" spans="1:18" ht="31.5" outlineLevel="3">
      <c r="A19" s="10" t="s">
        <v>119</v>
      </c>
      <c r="B19" s="10" t="s">
        <v>15</v>
      </c>
      <c r="C19" s="10" t="s">
        <v>7</v>
      </c>
      <c r="D19" s="10" t="s">
        <v>17</v>
      </c>
      <c r="E19" s="10" t="s">
        <v>10</v>
      </c>
      <c r="F19" s="11">
        <f>963315.24+602875.22</f>
        <v>1566190.46</v>
      </c>
      <c r="G19" s="11">
        <v>10763900</v>
      </c>
      <c r="H19" s="11">
        <v>10763900</v>
      </c>
      <c r="I19" s="11">
        <v>1307617.89</v>
      </c>
      <c r="J19" s="16">
        <f>I19/H19*100</f>
        <v>12.148179470266353</v>
      </c>
      <c r="K19" s="16">
        <f t="shared" si="1"/>
        <v>83.49034957089447</v>
      </c>
      <c r="L19" s="2"/>
      <c r="M19" s="2"/>
      <c r="N19" s="2"/>
      <c r="O19" s="2"/>
      <c r="P19" s="2"/>
      <c r="Q19" s="2"/>
      <c r="R19" s="2"/>
    </row>
    <row r="20" spans="1:18" ht="47.25" outlineLevel="2">
      <c r="A20" s="18" t="s">
        <v>125</v>
      </c>
      <c r="B20" s="18" t="s">
        <v>15</v>
      </c>
      <c r="C20" s="18" t="s">
        <v>7</v>
      </c>
      <c r="D20" s="18" t="s">
        <v>13</v>
      </c>
      <c r="E20" s="18"/>
      <c r="F20" s="19">
        <f>F21+F22+F23</f>
        <v>25462576.950000003</v>
      </c>
      <c r="G20" s="19">
        <f>G21+G22+G23</f>
        <v>49035304.01</v>
      </c>
      <c r="H20" s="19">
        <v>49035304.01</v>
      </c>
      <c r="I20" s="19">
        <v>15109780.79</v>
      </c>
      <c r="J20" s="20">
        <f aca="true" t="shared" si="2" ref="J20:J30">I20/H20*100</f>
        <v>30.814086085646764</v>
      </c>
      <c r="K20" s="20">
        <f t="shared" si="1"/>
        <v>59.3411296102141</v>
      </c>
      <c r="L20" s="2"/>
      <c r="M20" s="2"/>
      <c r="N20" s="2"/>
      <c r="O20" s="2"/>
      <c r="P20" s="2"/>
      <c r="Q20" s="2"/>
      <c r="R20" s="2"/>
    </row>
    <row r="21" spans="1:18" ht="31.5" outlineLevel="3">
      <c r="A21" s="10" t="s">
        <v>119</v>
      </c>
      <c r="B21" s="10" t="s">
        <v>15</v>
      </c>
      <c r="C21" s="10" t="s">
        <v>7</v>
      </c>
      <c r="D21" s="10" t="s">
        <v>13</v>
      </c>
      <c r="E21" s="10" t="s">
        <v>10</v>
      </c>
      <c r="F21" s="11">
        <f>17888789.53</f>
        <v>17888789.53</v>
      </c>
      <c r="G21" s="11">
        <v>9953982</v>
      </c>
      <c r="H21" s="11">
        <v>9953982</v>
      </c>
      <c r="I21" s="11">
        <v>5684467.87</v>
      </c>
      <c r="J21" s="16">
        <f t="shared" si="2"/>
        <v>57.10747588251617</v>
      </c>
      <c r="K21" s="16">
        <f t="shared" si="1"/>
        <v>31.776704960763208</v>
      </c>
      <c r="L21" s="2"/>
      <c r="M21" s="2"/>
      <c r="N21" s="2"/>
      <c r="O21" s="2"/>
      <c r="P21" s="2"/>
      <c r="Q21" s="2"/>
      <c r="R21" s="2"/>
    </row>
    <row r="22" spans="1:18" ht="15.75" outlineLevel="3">
      <c r="A22" s="10" t="s">
        <v>120</v>
      </c>
      <c r="B22" s="10" t="s">
        <v>15</v>
      </c>
      <c r="C22" s="10" t="s">
        <v>7</v>
      </c>
      <c r="D22" s="10" t="s">
        <v>13</v>
      </c>
      <c r="E22" s="10" t="s">
        <v>11</v>
      </c>
      <c r="F22" s="11">
        <v>5147885.42</v>
      </c>
      <c r="G22" s="11">
        <v>26740286.41</v>
      </c>
      <c r="H22" s="11">
        <v>26740286.41</v>
      </c>
      <c r="I22" s="11">
        <v>5792875.92</v>
      </c>
      <c r="J22" s="16">
        <f t="shared" si="2"/>
        <v>21.663477463104705</v>
      </c>
      <c r="K22" s="16">
        <f t="shared" si="1"/>
        <v>112.52923185691262</v>
      </c>
      <c r="L22" s="2"/>
      <c r="M22" s="2"/>
      <c r="N22" s="2"/>
      <c r="O22" s="2"/>
      <c r="P22" s="2"/>
      <c r="Q22" s="2"/>
      <c r="R22" s="2"/>
    </row>
    <row r="23" spans="1:18" ht="16.5" customHeight="1" outlineLevel="3">
      <c r="A23" s="10" t="s">
        <v>126</v>
      </c>
      <c r="B23" s="10" t="s">
        <v>15</v>
      </c>
      <c r="C23" s="10" t="s">
        <v>7</v>
      </c>
      <c r="D23" s="10" t="s">
        <v>13</v>
      </c>
      <c r="E23" s="10" t="s">
        <v>18</v>
      </c>
      <c r="F23" s="11">
        <v>2425902</v>
      </c>
      <c r="G23" s="11">
        <v>12341035.6</v>
      </c>
      <c r="H23" s="11">
        <v>12341035.6</v>
      </c>
      <c r="I23" s="11">
        <v>3632437</v>
      </c>
      <c r="J23" s="16">
        <f t="shared" si="2"/>
        <v>29.433810238745277</v>
      </c>
      <c r="K23" s="16">
        <f t="shared" si="1"/>
        <v>149.7355210556733</v>
      </c>
      <c r="L23" s="2"/>
      <c r="M23" s="2"/>
      <c r="N23" s="2"/>
      <c r="O23" s="2"/>
      <c r="P23" s="2"/>
      <c r="Q23" s="2"/>
      <c r="R23" s="2"/>
    </row>
    <row r="24" spans="1:18" ht="31.5" outlineLevel="2">
      <c r="A24" s="18" t="s">
        <v>127</v>
      </c>
      <c r="B24" s="18" t="s">
        <v>15</v>
      </c>
      <c r="C24" s="18" t="s">
        <v>7</v>
      </c>
      <c r="D24" s="18" t="s">
        <v>19</v>
      </c>
      <c r="E24" s="18"/>
      <c r="F24" s="19">
        <f>F25</f>
        <v>4709350</v>
      </c>
      <c r="G24" s="19">
        <f>G25</f>
        <v>21980200</v>
      </c>
      <c r="H24" s="19">
        <v>21980200</v>
      </c>
      <c r="I24" s="19">
        <v>4670800</v>
      </c>
      <c r="J24" s="20">
        <f t="shared" si="2"/>
        <v>21.250034121618548</v>
      </c>
      <c r="K24" s="20">
        <f t="shared" si="1"/>
        <v>99.18141569431026</v>
      </c>
      <c r="L24" s="2"/>
      <c r="M24" s="2"/>
      <c r="N24" s="2"/>
      <c r="O24" s="2"/>
      <c r="P24" s="2"/>
      <c r="Q24" s="2"/>
      <c r="R24" s="2"/>
    </row>
    <row r="25" spans="1:18" ht="31.5" outlineLevel="3">
      <c r="A25" s="10" t="s">
        <v>119</v>
      </c>
      <c r="B25" s="10" t="s">
        <v>15</v>
      </c>
      <c r="C25" s="10" t="s">
        <v>7</v>
      </c>
      <c r="D25" s="10" t="s">
        <v>19</v>
      </c>
      <c r="E25" s="10" t="s">
        <v>10</v>
      </c>
      <c r="F25" s="11">
        <v>4709350</v>
      </c>
      <c r="G25" s="11">
        <v>21980200</v>
      </c>
      <c r="H25" s="11">
        <v>21980200</v>
      </c>
      <c r="I25" s="11">
        <v>4670800</v>
      </c>
      <c r="J25" s="16">
        <f t="shared" si="2"/>
        <v>21.250034121618548</v>
      </c>
      <c r="K25" s="16">
        <f t="shared" si="1"/>
        <v>99.18141569431026</v>
      </c>
      <c r="L25" s="2"/>
      <c r="M25" s="2"/>
      <c r="N25" s="2"/>
      <c r="O25" s="2"/>
      <c r="P25" s="2"/>
      <c r="Q25" s="2"/>
      <c r="R25" s="2"/>
    </row>
    <row r="26" spans="1:18" ht="47.25" outlineLevel="2">
      <c r="A26" s="18" t="s">
        <v>128</v>
      </c>
      <c r="B26" s="18" t="s">
        <v>15</v>
      </c>
      <c r="C26" s="18" t="s">
        <v>7</v>
      </c>
      <c r="D26" s="18" t="s">
        <v>20</v>
      </c>
      <c r="E26" s="18"/>
      <c r="F26" s="19">
        <f>F28</f>
        <v>131175</v>
      </c>
      <c r="G26" s="19">
        <f>G27+G28</f>
        <v>6583013</v>
      </c>
      <c r="H26" s="19">
        <v>6583013</v>
      </c>
      <c r="I26" s="19">
        <v>2192370.8</v>
      </c>
      <c r="J26" s="20">
        <f t="shared" si="2"/>
        <v>33.303455423831004</v>
      </c>
      <c r="K26" s="20">
        <f t="shared" si="1"/>
        <v>1671.3327996950636</v>
      </c>
      <c r="L26" s="2"/>
      <c r="M26" s="2"/>
      <c r="N26" s="2"/>
      <c r="O26" s="2"/>
      <c r="P26" s="2"/>
      <c r="Q26" s="2"/>
      <c r="R26" s="2"/>
    </row>
    <row r="27" spans="1:18" ht="31.5" outlineLevel="3">
      <c r="A27" s="10" t="s">
        <v>119</v>
      </c>
      <c r="B27" s="10" t="s">
        <v>15</v>
      </c>
      <c r="C27" s="10" t="s">
        <v>7</v>
      </c>
      <c r="D27" s="10" t="s">
        <v>20</v>
      </c>
      <c r="E27" s="10" t="s">
        <v>10</v>
      </c>
      <c r="F27" s="11">
        <v>0</v>
      </c>
      <c r="G27" s="11">
        <v>1865218</v>
      </c>
      <c r="H27" s="11">
        <v>1865218</v>
      </c>
      <c r="I27" s="11">
        <v>683100</v>
      </c>
      <c r="J27" s="16">
        <f t="shared" si="2"/>
        <v>36.623064971493946</v>
      </c>
      <c r="K27" s="16"/>
      <c r="L27" s="2"/>
      <c r="M27" s="2"/>
      <c r="N27" s="2"/>
      <c r="O27" s="2"/>
      <c r="P27" s="2"/>
      <c r="Q27" s="2"/>
      <c r="R27" s="2"/>
    </row>
    <row r="28" spans="1:18" ht="18" customHeight="1" outlineLevel="3">
      <c r="A28" s="10" t="s">
        <v>129</v>
      </c>
      <c r="B28" s="10" t="s">
        <v>15</v>
      </c>
      <c r="C28" s="10" t="s">
        <v>7</v>
      </c>
      <c r="D28" s="10" t="s">
        <v>20</v>
      </c>
      <c r="E28" s="10" t="s">
        <v>21</v>
      </c>
      <c r="F28" s="11">
        <v>131175</v>
      </c>
      <c r="G28" s="11">
        <v>4717795</v>
      </c>
      <c r="H28" s="11">
        <v>4717795</v>
      </c>
      <c r="I28" s="11">
        <v>1509270.8</v>
      </c>
      <c r="J28" s="16">
        <f t="shared" si="2"/>
        <v>31.991021229197113</v>
      </c>
      <c r="K28" s="16">
        <f t="shared" si="1"/>
        <v>1150.578082713932</v>
      </c>
      <c r="L28" s="2"/>
      <c r="M28" s="2"/>
      <c r="N28" s="2"/>
      <c r="O28" s="2"/>
      <c r="P28" s="2"/>
      <c r="Q28" s="2"/>
      <c r="R28" s="2"/>
    </row>
    <row r="29" spans="1:18" ht="31.5" outlineLevel="2">
      <c r="A29" s="18" t="s">
        <v>130</v>
      </c>
      <c r="B29" s="18" t="s">
        <v>15</v>
      </c>
      <c r="C29" s="18" t="s">
        <v>7</v>
      </c>
      <c r="D29" s="18" t="s">
        <v>22</v>
      </c>
      <c r="E29" s="18"/>
      <c r="F29" s="19">
        <f>F30</f>
        <v>62203924.589999996</v>
      </c>
      <c r="G29" s="19">
        <f>G30</f>
        <v>299835400</v>
      </c>
      <c r="H29" s="19">
        <v>299835400</v>
      </c>
      <c r="I29" s="19">
        <v>73039724.45</v>
      </c>
      <c r="J29" s="20">
        <f t="shared" si="2"/>
        <v>24.359940303913415</v>
      </c>
      <c r="K29" s="20">
        <f t="shared" si="1"/>
        <v>117.41980097143579</v>
      </c>
      <c r="L29" s="2"/>
      <c r="M29" s="2"/>
      <c r="N29" s="2"/>
      <c r="O29" s="2"/>
      <c r="P29" s="2"/>
      <c r="Q29" s="2"/>
      <c r="R29" s="2"/>
    </row>
    <row r="30" spans="1:18" ht="31.5" outlineLevel="3">
      <c r="A30" s="10" t="s">
        <v>119</v>
      </c>
      <c r="B30" s="10" t="s">
        <v>15</v>
      </c>
      <c r="C30" s="10" t="s">
        <v>7</v>
      </c>
      <c r="D30" s="10" t="s">
        <v>22</v>
      </c>
      <c r="E30" s="10" t="s">
        <v>10</v>
      </c>
      <c r="F30" s="11">
        <f>2294228.68+59909695.91</f>
        <v>62203924.589999996</v>
      </c>
      <c r="G30" s="11">
        <v>299835400</v>
      </c>
      <c r="H30" s="11">
        <v>299835400</v>
      </c>
      <c r="I30" s="11">
        <v>73039724.45</v>
      </c>
      <c r="J30" s="16">
        <f t="shared" si="2"/>
        <v>24.359940303913415</v>
      </c>
      <c r="K30" s="16">
        <f t="shared" si="1"/>
        <v>117.41980097143579</v>
      </c>
      <c r="L30" s="2"/>
      <c r="M30" s="2"/>
      <c r="N30" s="2"/>
      <c r="O30" s="2"/>
      <c r="P30" s="2"/>
      <c r="Q30" s="2"/>
      <c r="R30" s="2"/>
    </row>
    <row r="31" spans="1:18" ht="48" customHeight="1" outlineLevel="1">
      <c r="A31" s="18" t="s">
        <v>131</v>
      </c>
      <c r="B31" s="18" t="s">
        <v>15</v>
      </c>
      <c r="C31" s="18" t="s">
        <v>24</v>
      </c>
      <c r="D31" s="18"/>
      <c r="E31" s="18"/>
      <c r="F31" s="19">
        <f>F32</f>
        <v>0</v>
      </c>
      <c r="G31" s="19">
        <f>G32+G34</f>
        <v>1470700</v>
      </c>
      <c r="H31" s="19">
        <v>1470700</v>
      </c>
      <c r="I31" s="19">
        <v>299900</v>
      </c>
      <c r="J31" s="20">
        <f aca="true" t="shared" si="3" ref="J31:J46">I31/H31*100</f>
        <v>20.39165023458217</v>
      </c>
      <c r="K31" s="16"/>
      <c r="L31" s="2"/>
      <c r="M31" s="2"/>
      <c r="N31" s="2"/>
      <c r="O31" s="2"/>
      <c r="P31" s="2"/>
      <c r="Q31" s="2"/>
      <c r="R31" s="2"/>
    </row>
    <row r="32" spans="1:18" ht="47.25" outlineLevel="2">
      <c r="A32" s="18" t="s">
        <v>132</v>
      </c>
      <c r="B32" s="18" t="s">
        <v>15</v>
      </c>
      <c r="C32" s="18" t="s">
        <v>24</v>
      </c>
      <c r="D32" s="18" t="s">
        <v>9</v>
      </c>
      <c r="E32" s="18"/>
      <c r="F32" s="19">
        <f>F33</f>
        <v>0</v>
      </c>
      <c r="G32" s="19">
        <f>G33</f>
        <v>1225700</v>
      </c>
      <c r="H32" s="19">
        <v>1225700</v>
      </c>
      <c r="I32" s="19">
        <v>299900</v>
      </c>
      <c r="J32" s="20">
        <f t="shared" si="3"/>
        <v>24.467651138125156</v>
      </c>
      <c r="K32" s="16"/>
      <c r="L32" s="2"/>
      <c r="M32" s="2"/>
      <c r="N32" s="2"/>
      <c r="O32" s="2"/>
      <c r="P32" s="2"/>
      <c r="Q32" s="2"/>
      <c r="R32" s="2"/>
    </row>
    <row r="33" spans="1:18" ht="31.5" outlineLevel="3">
      <c r="A33" s="10" t="s">
        <v>119</v>
      </c>
      <c r="B33" s="10" t="s">
        <v>15</v>
      </c>
      <c r="C33" s="10" t="s">
        <v>24</v>
      </c>
      <c r="D33" s="10" t="s">
        <v>9</v>
      </c>
      <c r="E33" s="10" t="s">
        <v>10</v>
      </c>
      <c r="F33" s="11">
        <v>0</v>
      </c>
      <c r="G33" s="11">
        <v>1225700</v>
      </c>
      <c r="H33" s="11">
        <v>1225700</v>
      </c>
      <c r="I33" s="11">
        <v>299900</v>
      </c>
      <c r="J33" s="16">
        <f t="shared" si="3"/>
        <v>24.467651138125156</v>
      </c>
      <c r="K33" s="16"/>
      <c r="L33" s="2"/>
      <c r="M33" s="2"/>
      <c r="N33" s="2"/>
      <c r="O33" s="2"/>
      <c r="P33" s="2"/>
      <c r="Q33" s="2"/>
      <c r="R33" s="2"/>
    </row>
    <row r="34" spans="1:18" ht="49.5" customHeight="1" outlineLevel="2">
      <c r="A34" s="18" t="s">
        <v>133</v>
      </c>
      <c r="B34" s="18" t="s">
        <v>15</v>
      </c>
      <c r="C34" s="18" t="s">
        <v>24</v>
      </c>
      <c r="D34" s="18" t="s">
        <v>25</v>
      </c>
      <c r="E34" s="18"/>
      <c r="F34" s="19">
        <f>F35</f>
        <v>0</v>
      </c>
      <c r="G34" s="19">
        <f>G35</f>
        <v>245000</v>
      </c>
      <c r="H34" s="19">
        <v>245000</v>
      </c>
      <c r="I34" s="19">
        <v>0</v>
      </c>
      <c r="J34" s="20">
        <f t="shared" si="3"/>
        <v>0</v>
      </c>
      <c r="K34" s="16"/>
      <c r="L34" s="2"/>
      <c r="M34" s="2"/>
      <c r="N34" s="2"/>
      <c r="O34" s="2"/>
      <c r="P34" s="2"/>
      <c r="Q34" s="2"/>
      <c r="R34" s="2"/>
    </row>
    <row r="35" spans="1:18" ht="31.5" outlineLevel="3">
      <c r="A35" s="10" t="s">
        <v>119</v>
      </c>
      <c r="B35" s="10" t="s">
        <v>15</v>
      </c>
      <c r="C35" s="10" t="s">
        <v>24</v>
      </c>
      <c r="D35" s="10" t="s">
        <v>25</v>
      </c>
      <c r="E35" s="10" t="s">
        <v>10</v>
      </c>
      <c r="F35" s="11">
        <v>0</v>
      </c>
      <c r="G35" s="11">
        <v>245000</v>
      </c>
      <c r="H35" s="11">
        <v>245000</v>
      </c>
      <c r="I35" s="11">
        <v>0</v>
      </c>
      <c r="J35" s="16">
        <f t="shared" si="3"/>
        <v>0</v>
      </c>
      <c r="K35" s="16"/>
      <c r="L35" s="2"/>
      <c r="M35" s="2"/>
      <c r="N35" s="2"/>
      <c r="O35" s="2"/>
      <c r="P35" s="2"/>
      <c r="Q35" s="2"/>
      <c r="R35" s="2"/>
    </row>
    <row r="36" spans="1:18" ht="47.25">
      <c r="A36" s="18" t="s">
        <v>26</v>
      </c>
      <c r="B36" s="18" t="s">
        <v>27</v>
      </c>
      <c r="C36" s="18"/>
      <c r="D36" s="18"/>
      <c r="E36" s="18"/>
      <c r="F36" s="19">
        <f>F37+F45+F47</f>
        <v>8147874.04</v>
      </c>
      <c r="G36" s="19">
        <f>G37+G39+G41+G43+G45+G47</f>
        <v>53994169</v>
      </c>
      <c r="H36" s="19">
        <v>53994169</v>
      </c>
      <c r="I36" s="19">
        <v>9154739.5</v>
      </c>
      <c r="J36" s="20">
        <f t="shared" si="3"/>
        <v>16.955052127943667</v>
      </c>
      <c r="K36" s="20">
        <f t="shared" si="1"/>
        <v>112.35740090061579</v>
      </c>
      <c r="L36" s="2"/>
      <c r="M36" s="2"/>
      <c r="N36" s="2"/>
      <c r="O36" s="2"/>
      <c r="P36" s="2"/>
      <c r="Q36" s="2"/>
      <c r="R36" s="2"/>
    </row>
    <row r="37" spans="1:18" ht="47.25" outlineLevel="2">
      <c r="A37" s="18" t="s">
        <v>134</v>
      </c>
      <c r="B37" s="18" t="s">
        <v>27</v>
      </c>
      <c r="C37" s="18" t="s">
        <v>7</v>
      </c>
      <c r="D37" s="18" t="s">
        <v>16</v>
      </c>
      <c r="E37" s="18"/>
      <c r="F37" s="19">
        <f>F38</f>
        <v>4353423.61</v>
      </c>
      <c r="G37" s="19">
        <f>G38</f>
        <v>20641173.02</v>
      </c>
      <c r="H37" s="19">
        <v>20641173.02</v>
      </c>
      <c r="I37" s="19">
        <v>5262675.52</v>
      </c>
      <c r="J37" s="20">
        <f t="shared" si="3"/>
        <v>25.496009916203878</v>
      </c>
      <c r="K37" s="20">
        <f t="shared" si="1"/>
        <v>120.885904783339</v>
      </c>
      <c r="L37" s="2"/>
      <c r="M37" s="2"/>
      <c r="N37" s="2"/>
      <c r="O37" s="2"/>
      <c r="P37" s="2"/>
      <c r="Q37" s="2"/>
      <c r="R37" s="2"/>
    </row>
    <row r="38" spans="1:18" ht="17.25" customHeight="1" outlineLevel="3">
      <c r="A38" s="10" t="s">
        <v>135</v>
      </c>
      <c r="B38" s="10" t="s">
        <v>27</v>
      </c>
      <c r="C38" s="10" t="s">
        <v>7</v>
      </c>
      <c r="D38" s="10" t="s">
        <v>16</v>
      </c>
      <c r="E38" s="10" t="s">
        <v>28</v>
      </c>
      <c r="F38" s="11">
        <v>4353423.61</v>
      </c>
      <c r="G38" s="11">
        <v>20641173.02</v>
      </c>
      <c r="H38" s="11">
        <v>20641173.02</v>
      </c>
      <c r="I38" s="11">
        <v>5262675.52</v>
      </c>
      <c r="J38" s="16">
        <f t="shared" si="3"/>
        <v>25.496009916203878</v>
      </c>
      <c r="K38" s="16">
        <f t="shared" si="1"/>
        <v>120.885904783339</v>
      </c>
      <c r="L38" s="2"/>
      <c r="M38" s="2"/>
      <c r="N38" s="2"/>
      <c r="O38" s="2"/>
      <c r="P38" s="2"/>
      <c r="Q38" s="2"/>
      <c r="R38" s="2"/>
    </row>
    <row r="39" spans="1:18" ht="47.25" outlineLevel="2">
      <c r="A39" s="18" t="s">
        <v>136</v>
      </c>
      <c r="B39" s="18" t="s">
        <v>27</v>
      </c>
      <c r="C39" s="18" t="s">
        <v>7</v>
      </c>
      <c r="D39" s="18" t="s">
        <v>25</v>
      </c>
      <c r="E39" s="18"/>
      <c r="F39" s="19">
        <f>F40</f>
        <v>0</v>
      </c>
      <c r="G39" s="19">
        <f>G40</f>
        <v>170000</v>
      </c>
      <c r="H39" s="19">
        <v>170000</v>
      </c>
      <c r="I39" s="19">
        <v>0</v>
      </c>
      <c r="J39" s="20">
        <f t="shared" si="3"/>
        <v>0</v>
      </c>
      <c r="K39" s="16"/>
      <c r="L39" s="2"/>
      <c r="M39" s="2"/>
      <c r="N39" s="2"/>
      <c r="O39" s="2"/>
      <c r="P39" s="2"/>
      <c r="Q39" s="2"/>
      <c r="R39" s="2"/>
    </row>
    <row r="40" spans="1:18" ht="16.5" customHeight="1" outlineLevel="3">
      <c r="A40" s="10" t="s">
        <v>135</v>
      </c>
      <c r="B40" s="10" t="s">
        <v>27</v>
      </c>
      <c r="C40" s="10" t="s">
        <v>7</v>
      </c>
      <c r="D40" s="10" t="s">
        <v>25</v>
      </c>
      <c r="E40" s="10" t="s">
        <v>28</v>
      </c>
      <c r="F40" s="11">
        <v>0</v>
      </c>
      <c r="G40" s="11">
        <v>170000</v>
      </c>
      <c r="H40" s="11">
        <v>170000</v>
      </c>
      <c r="I40" s="11">
        <v>0</v>
      </c>
      <c r="J40" s="16">
        <f t="shared" si="3"/>
        <v>0</v>
      </c>
      <c r="K40" s="16"/>
      <c r="L40" s="2"/>
      <c r="M40" s="2"/>
      <c r="N40" s="2"/>
      <c r="O40" s="2"/>
      <c r="P40" s="2"/>
      <c r="Q40" s="2"/>
      <c r="R40" s="2"/>
    </row>
    <row r="41" spans="1:18" ht="47.25" outlineLevel="2">
      <c r="A41" s="18" t="s">
        <v>137</v>
      </c>
      <c r="B41" s="18" t="s">
        <v>27</v>
      </c>
      <c r="C41" s="18" t="s">
        <v>7</v>
      </c>
      <c r="D41" s="18" t="s">
        <v>13</v>
      </c>
      <c r="E41" s="18"/>
      <c r="F41" s="19">
        <f>F42</f>
        <v>0</v>
      </c>
      <c r="G41" s="19">
        <f>G42</f>
        <v>1605650</v>
      </c>
      <c r="H41" s="19">
        <v>1605650</v>
      </c>
      <c r="I41" s="19">
        <v>0</v>
      </c>
      <c r="J41" s="20">
        <f t="shared" si="3"/>
        <v>0</v>
      </c>
      <c r="K41" s="16"/>
      <c r="L41" s="2"/>
      <c r="M41" s="2"/>
      <c r="N41" s="2"/>
      <c r="O41" s="2"/>
      <c r="P41" s="2"/>
      <c r="Q41" s="2"/>
      <c r="R41" s="2"/>
    </row>
    <row r="42" spans="1:18" ht="17.25" customHeight="1" outlineLevel="3">
      <c r="A42" s="10" t="s">
        <v>135</v>
      </c>
      <c r="B42" s="10" t="s">
        <v>27</v>
      </c>
      <c r="C42" s="10" t="s">
        <v>7</v>
      </c>
      <c r="D42" s="10" t="s">
        <v>13</v>
      </c>
      <c r="E42" s="10" t="s">
        <v>28</v>
      </c>
      <c r="F42" s="11">
        <v>0</v>
      </c>
      <c r="G42" s="11">
        <v>1605650</v>
      </c>
      <c r="H42" s="11">
        <v>1605650</v>
      </c>
      <c r="I42" s="11">
        <v>0</v>
      </c>
      <c r="J42" s="16">
        <f t="shared" si="3"/>
        <v>0</v>
      </c>
      <c r="K42" s="16"/>
      <c r="L42" s="2"/>
      <c r="M42" s="2"/>
      <c r="N42" s="2"/>
      <c r="O42" s="2"/>
      <c r="P42" s="2"/>
      <c r="Q42" s="2"/>
      <c r="R42" s="2"/>
    </row>
    <row r="43" spans="1:18" ht="31.5" outlineLevel="2">
      <c r="A43" s="18" t="s">
        <v>138</v>
      </c>
      <c r="B43" s="18" t="s">
        <v>27</v>
      </c>
      <c r="C43" s="18" t="s">
        <v>7</v>
      </c>
      <c r="D43" s="18" t="s">
        <v>19</v>
      </c>
      <c r="E43" s="18"/>
      <c r="F43" s="19">
        <f>F44</f>
        <v>0</v>
      </c>
      <c r="G43" s="19">
        <f>G44</f>
        <v>7788200</v>
      </c>
      <c r="H43" s="19">
        <v>7788200</v>
      </c>
      <c r="I43" s="19">
        <v>580445.52</v>
      </c>
      <c r="J43" s="20">
        <f t="shared" si="3"/>
        <v>7.452884106725559</v>
      </c>
      <c r="K43" s="16"/>
      <c r="L43" s="2"/>
      <c r="M43" s="2"/>
      <c r="N43" s="2"/>
      <c r="O43" s="2"/>
      <c r="P43" s="2"/>
      <c r="Q43" s="2"/>
      <c r="R43" s="2"/>
    </row>
    <row r="44" spans="1:18" ht="16.5" customHeight="1" outlineLevel="3">
      <c r="A44" s="10" t="s">
        <v>135</v>
      </c>
      <c r="B44" s="10" t="s">
        <v>27</v>
      </c>
      <c r="C44" s="10" t="s">
        <v>7</v>
      </c>
      <c r="D44" s="10" t="s">
        <v>19</v>
      </c>
      <c r="E44" s="10" t="s">
        <v>28</v>
      </c>
      <c r="F44" s="11">
        <v>0</v>
      </c>
      <c r="G44" s="11">
        <v>7788200</v>
      </c>
      <c r="H44" s="11">
        <v>7788200</v>
      </c>
      <c r="I44" s="11">
        <v>580445.52</v>
      </c>
      <c r="J44" s="16">
        <f t="shared" si="3"/>
        <v>7.452884106725559</v>
      </c>
      <c r="K44" s="16"/>
      <c r="L44" s="2"/>
      <c r="M44" s="2"/>
      <c r="N44" s="2"/>
      <c r="O44" s="2"/>
      <c r="P44" s="2"/>
      <c r="Q44" s="2"/>
      <c r="R44" s="2"/>
    </row>
    <row r="45" spans="1:18" ht="48" customHeight="1" outlineLevel="2">
      <c r="A45" s="18" t="s">
        <v>139</v>
      </c>
      <c r="B45" s="18" t="s">
        <v>27</v>
      </c>
      <c r="C45" s="18" t="s">
        <v>7</v>
      </c>
      <c r="D45" s="18" t="s">
        <v>29</v>
      </c>
      <c r="E45" s="18"/>
      <c r="F45" s="19">
        <f>F46</f>
        <v>3093664.56</v>
      </c>
      <c r="G45" s="19">
        <f>G46</f>
        <v>12610900</v>
      </c>
      <c r="H45" s="19">
        <v>12610900</v>
      </c>
      <c r="I45" s="19">
        <v>1688731.68</v>
      </c>
      <c r="J45" s="20">
        <f t="shared" si="3"/>
        <v>13.391048061597507</v>
      </c>
      <c r="K45" s="20">
        <f t="shared" si="1"/>
        <v>54.58677394552433</v>
      </c>
      <c r="L45" s="2"/>
      <c r="M45" s="2"/>
      <c r="N45" s="2"/>
      <c r="O45" s="2"/>
      <c r="P45" s="2"/>
      <c r="Q45" s="2"/>
      <c r="R45" s="2"/>
    </row>
    <row r="46" spans="1:18" ht="15.75" customHeight="1" outlineLevel="3">
      <c r="A46" s="10" t="s">
        <v>135</v>
      </c>
      <c r="B46" s="10" t="s">
        <v>27</v>
      </c>
      <c r="C46" s="10" t="s">
        <v>7</v>
      </c>
      <c r="D46" s="10" t="s">
        <v>29</v>
      </c>
      <c r="E46" s="10" t="s">
        <v>28</v>
      </c>
      <c r="F46" s="11">
        <f>1700000+1393664.56</f>
        <v>3093664.56</v>
      </c>
      <c r="G46" s="11">
        <v>12610900</v>
      </c>
      <c r="H46" s="11">
        <v>12610900</v>
      </c>
      <c r="I46" s="11">
        <v>1688731.68</v>
      </c>
      <c r="J46" s="16">
        <f t="shared" si="3"/>
        <v>13.391048061597507</v>
      </c>
      <c r="K46" s="16">
        <f t="shared" si="1"/>
        <v>54.58677394552433</v>
      </c>
      <c r="L46" s="2"/>
      <c r="M46" s="2"/>
      <c r="N46" s="2"/>
      <c r="O46" s="2"/>
      <c r="P46" s="2"/>
      <c r="Q46" s="2"/>
      <c r="R46" s="2"/>
    </row>
    <row r="47" spans="1:18" ht="63" outlineLevel="2">
      <c r="A47" s="18" t="s">
        <v>140</v>
      </c>
      <c r="B47" s="18" t="s">
        <v>27</v>
      </c>
      <c r="C47" s="18" t="s">
        <v>7</v>
      </c>
      <c r="D47" s="18" t="s">
        <v>30</v>
      </c>
      <c r="E47" s="18"/>
      <c r="F47" s="19">
        <f>F48</f>
        <v>700785.87</v>
      </c>
      <c r="G47" s="19">
        <f>G48</f>
        <v>11178245.98</v>
      </c>
      <c r="H47" s="19">
        <v>11178245.98</v>
      </c>
      <c r="I47" s="19">
        <v>1622886.78</v>
      </c>
      <c r="J47" s="20">
        <f aca="true" t="shared" si="4" ref="J47:J53">I47/H47*100</f>
        <v>14.518259688538363</v>
      </c>
      <c r="K47" s="20">
        <f t="shared" si="1"/>
        <v>231.58097922265472</v>
      </c>
      <c r="L47" s="2"/>
      <c r="M47" s="2"/>
      <c r="N47" s="2"/>
      <c r="O47" s="2"/>
      <c r="P47" s="2"/>
      <c r="Q47" s="2"/>
      <c r="R47" s="2"/>
    </row>
    <row r="48" spans="1:18" ht="15.75" customHeight="1" outlineLevel="3">
      <c r="A48" s="10" t="s">
        <v>135</v>
      </c>
      <c r="B48" s="10" t="s">
        <v>27</v>
      </c>
      <c r="C48" s="10" t="s">
        <v>7</v>
      </c>
      <c r="D48" s="10" t="s">
        <v>30</v>
      </c>
      <c r="E48" s="10" t="s">
        <v>28</v>
      </c>
      <c r="F48" s="11">
        <v>700785.87</v>
      </c>
      <c r="G48" s="11">
        <v>11178245.98</v>
      </c>
      <c r="H48" s="11">
        <v>11178245.98</v>
      </c>
      <c r="I48" s="11">
        <v>1622886.78</v>
      </c>
      <c r="J48" s="16">
        <f t="shared" si="4"/>
        <v>14.518259688538363</v>
      </c>
      <c r="K48" s="16">
        <f t="shared" si="1"/>
        <v>231.58097922265472</v>
      </c>
      <c r="L48" s="2"/>
      <c r="M48" s="2"/>
      <c r="N48" s="2"/>
      <c r="O48" s="2"/>
      <c r="P48" s="2"/>
      <c r="Q48" s="2"/>
      <c r="R48" s="2"/>
    </row>
    <row r="49" spans="1:18" ht="16.5" customHeight="1">
      <c r="A49" s="18" t="s">
        <v>31</v>
      </c>
      <c r="B49" s="18" t="s">
        <v>16</v>
      </c>
      <c r="C49" s="18"/>
      <c r="D49" s="18"/>
      <c r="E49" s="18"/>
      <c r="F49" s="19">
        <f>F50+F54</f>
        <v>14105876.96</v>
      </c>
      <c r="G49" s="19">
        <f>G50+G52+G54</f>
        <v>76989565</v>
      </c>
      <c r="H49" s="19">
        <v>76989565</v>
      </c>
      <c r="I49" s="19">
        <v>15163233.01</v>
      </c>
      <c r="J49" s="20">
        <f t="shared" si="4"/>
        <v>19.69517948308969</v>
      </c>
      <c r="K49" s="20">
        <f t="shared" si="1"/>
        <v>107.49585476321919</v>
      </c>
      <c r="L49" s="2"/>
      <c r="M49" s="2"/>
      <c r="N49" s="2"/>
      <c r="O49" s="2"/>
      <c r="P49" s="2"/>
      <c r="Q49" s="2"/>
      <c r="R49" s="2"/>
    </row>
    <row r="50" spans="1:18" ht="63" outlineLevel="2">
      <c r="A50" s="18" t="s">
        <v>141</v>
      </c>
      <c r="B50" s="18" t="s">
        <v>16</v>
      </c>
      <c r="C50" s="18" t="s">
        <v>7</v>
      </c>
      <c r="D50" s="18" t="s">
        <v>16</v>
      </c>
      <c r="E50" s="18"/>
      <c r="F50" s="19">
        <f>F51</f>
        <v>3898768.62</v>
      </c>
      <c r="G50" s="19">
        <f>G51</f>
        <v>24292905</v>
      </c>
      <c r="H50" s="19">
        <v>24292905</v>
      </c>
      <c r="I50" s="19">
        <v>4862542.62</v>
      </c>
      <c r="J50" s="20">
        <f t="shared" si="4"/>
        <v>20.01630772441583</v>
      </c>
      <c r="K50" s="20">
        <f t="shared" si="1"/>
        <v>124.71995888794243</v>
      </c>
      <c r="L50" s="2"/>
      <c r="M50" s="2"/>
      <c r="N50" s="2"/>
      <c r="O50" s="2"/>
      <c r="P50" s="2"/>
      <c r="Q50" s="2"/>
      <c r="R50" s="2"/>
    </row>
    <row r="51" spans="1:18" ht="15.75" outlineLevel="3">
      <c r="A51" s="10" t="s">
        <v>142</v>
      </c>
      <c r="B51" s="10" t="s">
        <v>16</v>
      </c>
      <c r="C51" s="10" t="s">
        <v>7</v>
      </c>
      <c r="D51" s="10" t="s">
        <v>16</v>
      </c>
      <c r="E51" s="10" t="s">
        <v>32</v>
      </c>
      <c r="F51" s="11">
        <v>3898768.62</v>
      </c>
      <c r="G51" s="11">
        <v>24292905</v>
      </c>
      <c r="H51" s="11">
        <v>24292905</v>
      </c>
      <c r="I51" s="11">
        <v>4862542.62</v>
      </c>
      <c r="J51" s="16">
        <f t="shared" si="4"/>
        <v>20.01630772441583</v>
      </c>
      <c r="K51" s="16">
        <f t="shared" si="1"/>
        <v>124.71995888794243</v>
      </c>
      <c r="L51" s="2"/>
      <c r="M51" s="2"/>
      <c r="N51" s="2"/>
      <c r="O51" s="2"/>
      <c r="P51" s="2"/>
      <c r="Q51" s="2"/>
      <c r="R51" s="2"/>
    </row>
    <row r="52" spans="1:18" ht="50.25" customHeight="1" outlineLevel="2">
      <c r="A52" s="18" t="s">
        <v>143</v>
      </c>
      <c r="B52" s="18" t="s">
        <v>16</v>
      </c>
      <c r="C52" s="18" t="s">
        <v>7</v>
      </c>
      <c r="D52" s="18" t="s">
        <v>17</v>
      </c>
      <c r="E52" s="18"/>
      <c r="F52" s="19">
        <f>F53</f>
        <v>0</v>
      </c>
      <c r="G52" s="19">
        <f>G53</f>
        <v>5806000</v>
      </c>
      <c r="H52" s="19">
        <v>5806000</v>
      </c>
      <c r="I52" s="19">
        <v>1344242</v>
      </c>
      <c r="J52" s="20">
        <f t="shared" si="4"/>
        <v>23.152635204960387</v>
      </c>
      <c r="K52" s="16"/>
      <c r="L52" s="2"/>
      <c r="M52" s="2"/>
      <c r="N52" s="2"/>
      <c r="O52" s="2"/>
      <c r="P52" s="2"/>
      <c r="Q52" s="2"/>
      <c r="R52" s="2"/>
    </row>
    <row r="53" spans="1:18" ht="15.75" outlineLevel="3">
      <c r="A53" s="10" t="s">
        <v>142</v>
      </c>
      <c r="B53" s="10" t="s">
        <v>16</v>
      </c>
      <c r="C53" s="10" t="s">
        <v>7</v>
      </c>
      <c r="D53" s="10" t="s">
        <v>17</v>
      </c>
      <c r="E53" s="10" t="s">
        <v>32</v>
      </c>
      <c r="F53" s="11">
        <v>0</v>
      </c>
      <c r="G53" s="11">
        <v>5806000</v>
      </c>
      <c r="H53" s="11">
        <v>5806000</v>
      </c>
      <c r="I53" s="11">
        <v>1344242</v>
      </c>
      <c r="J53" s="16">
        <f t="shared" si="4"/>
        <v>23.152635204960387</v>
      </c>
      <c r="K53" s="16"/>
      <c r="L53" s="2"/>
      <c r="M53" s="2"/>
      <c r="N53" s="2"/>
      <c r="O53" s="2"/>
      <c r="P53" s="2"/>
      <c r="Q53" s="2"/>
      <c r="R53" s="2"/>
    </row>
    <row r="54" spans="1:18" ht="47.25" outlineLevel="2">
      <c r="A54" s="18" t="s">
        <v>144</v>
      </c>
      <c r="B54" s="18" t="s">
        <v>16</v>
      </c>
      <c r="C54" s="18" t="s">
        <v>7</v>
      </c>
      <c r="D54" s="18" t="s">
        <v>9</v>
      </c>
      <c r="E54" s="18"/>
      <c r="F54" s="19">
        <f>F55</f>
        <v>10207108.34</v>
      </c>
      <c r="G54" s="19">
        <f>G55</f>
        <v>46890660</v>
      </c>
      <c r="H54" s="19">
        <v>46890660</v>
      </c>
      <c r="I54" s="19">
        <v>8956448.39</v>
      </c>
      <c r="J54" s="20">
        <f aca="true" t="shared" si="5" ref="J54:J61">I54/H54*100</f>
        <v>19.100708733892848</v>
      </c>
      <c r="K54" s="20">
        <f t="shared" si="1"/>
        <v>87.74716689251876</v>
      </c>
      <c r="L54" s="2"/>
      <c r="M54" s="2"/>
      <c r="N54" s="2"/>
      <c r="O54" s="2"/>
      <c r="P54" s="2"/>
      <c r="Q54" s="2"/>
      <c r="R54" s="2"/>
    </row>
    <row r="55" spans="1:18" ht="15.75" outlineLevel="3">
      <c r="A55" s="10" t="s">
        <v>142</v>
      </c>
      <c r="B55" s="10" t="s">
        <v>16</v>
      </c>
      <c r="C55" s="10" t="s">
        <v>7</v>
      </c>
      <c r="D55" s="10" t="s">
        <v>9</v>
      </c>
      <c r="E55" s="10" t="s">
        <v>32</v>
      </c>
      <c r="F55" s="11">
        <f>5651888+3124957+1430263.34</f>
        <v>10207108.34</v>
      </c>
      <c r="G55" s="11">
        <v>46890660</v>
      </c>
      <c r="H55" s="11">
        <v>46890660</v>
      </c>
      <c r="I55" s="11">
        <v>8956448.39</v>
      </c>
      <c r="J55" s="16">
        <f t="shared" si="5"/>
        <v>19.100708733892848</v>
      </c>
      <c r="K55" s="16">
        <f t="shared" si="1"/>
        <v>87.74716689251876</v>
      </c>
      <c r="L55" s="2"/>
      <c r="M55" s="2"/>
      <c r="N55" s="2"/>
      <c r="O55" s="2"/>
      <c r="P55" s="2"/>
      <c r="Q55" s="2"/>
      <c r="R55" s="2"/>
    </row>
    <row r="56" spans="1:18" ht="47.25">
      <c r="A56" s="18" t="s">
        <v>33</v>
      </c>
      <c r="B56" s="18" t="s">
        <v>17</v>
      </c>
      <c r="C56" s="18"/>
      <c r="D56" s="18"/>
      <c r="E56" s="18"/>
      <c r="F56" s="19">
        <f>F57+F60+F62+F66</f>
        <v>73854440.59</v>
      </c>
      <c r="G56" s="19">
        <f>G57+G60+G62+G66</f>
        <v>518321695.62</v>
      </c>
      <c r="H56" s="19">
        <v>518321695.62</v>
      </c>
      <c r="I56" s="19">
        <v>140239842.23</v>
      </c>
      <c r="J56" s="20">
        <f t="shared" si="5"/>
        <v>27.05652559309707</v>
      </c>
      <c r="K56" s="20">
        <f t="shared" si="1"/>
        <v>189.88681128672533</v>
      </c>
      <c r="L56" s="2"/>
      <c r="M56" s="2"/>
      <c r="N56" s="2"/>
      <c r="O56" s="2"/>
      <c r="P56" s="2"/>
      <c r="Q56" s="2"/>
      <c r="R56" s="2"/>
    </row>
    <row r="57" spans="1:18" ht="31.5" outlineLevel="2">
      <c r="A57" s="18" t="s">
        <v>145</v>
      </c>
      <c r="B57" s="18" t="s">
        <v>17</v>
      </c>
      <c r="C57" s="18" t="s">
        <v>7</v>
      </c>
      <c r="D57" s="18" t="s">
        <v>16</v>
      </c>
      <c r="E57" s="18"/>
      <c r="F57" s="19">
        <f>F58+F59</f>
        <v>4528979.33</v>
      </c>
      <c r="G57" s="19">
        <f>G58+G59</f>
        <v>27340861</v>
      </c>
      <c r="H57" s="19">
        <v>27340861</v>
      </c>
      <c r="I57" s="19">
        <v>7872194.22</v>
      </c>
      <c r="J57" s="20">
        <f t="shared" si="5"/>
        <v>28.792780958873237</v>
      </c>
      <c r="K57" s="20">
        <f t="shared" si="1"/>
        <v>173.81828545461698</v>
      </c>
      <c r="L57" s="2"/>
      <c r="M57" s="2"/>
      <c r="N57" s="2"/>
      <c r="O57" s="2"/>
      <c r="P57" s="2"/>
      <c r="Q57" s="2"/>
      <c r="R57" s="2"/>
    </row>
    <row r="58" spans="1:18" ht="15.75" customHeight="1" outlineLevel="3">
      <c r="A58" s="10" t="s">
        <v>146</v>
      </c>
      <c r="B58" s="10" t="s">
        <v>17</v>
      </c>
      <c r="C58" s="10" t="s">
        <v>7</v>
      </c>
      <c r="D58" s="10" t="s">
        <v>16</v>
      </c>
      <c r="E58" s="10" t="s">
        <v>34</v>
      </c>
      <c r="F58" s="11">
        <v>1647267.13</v>
      </c>
      <c r="G58" s="11">
        <v>11454904</v>
      </c>
      <c r="H58" s="11">
        <v>11454904</v>
      </c>
      <c r="I58" s="11">
        <v>3664914.91</v>
      </c>
      <c r="J58" s="16">
        <f t="shared" si="5"/>
        <v>31.99428742484442</v>
      </c>
      <c r="K58" s="16">
        <f t="shared" si="1"/>
        <v>222.48455294558087</v>
      </c>
      <c r="L58" s="2"/>
      <c r="M58" s="2"/>
      <c r="N58" s="2"/>
      <c r="O58" s="2"/>
      <c r="P58" s="2"/>
      <c r="Q58" s="2"/>
      <c r="R58" s="2"/>
    </row>
    <row r="59" spans="1:18" ht="31.5" outlineLevel="3">
      <c r="A59" s="10" t="s">
        <v>147</v>
      </c>
      <c r="B59" s="10" t="s">
        <v>17</v>
      </c>
      <c r="C59" s="10" t="s">
        <v>7</v>
      </c>
      <c r="D59" s="10" t="s">
        <v>16</v>
      </c>
      <c r="E59" s="10" t="s">
        <v>35</v>
      </c>
      <c r="F59" s="11">
        <v>2881712.2</v>
      </c>
      <c r="G59" s="11">
        <v>15885957</v>
      </c>
      <c r="H59" s="11">
        <v>15885957</v>
      </c>
      <c r="I59" s="11">
        <v>4207279.31</v>
      </c>
      <c r="J59" s="16">
        <f t="shared" si="5"/>
        <v>26.484267268254598</v>
      </c>
      <c r="K59" s="16">
        <f t="shared" si="1"/>
        <v>145.9992885479681</v>
      </c>
      <c r="L59" s="2"/>
      <c r="M59" s="2"/>
      <c r="N59" s="2"/>
      <c r="O59" s="2"/>
      <c r="P59" s="2"/>
      <c r="Q59" s="2"/>
      <c r="R59" s="2"/>
    </row>
    <row r="60" spans="1:18" ht="47.25" outlineLevel="2">
      <c r="A60" s="18" t="s">
        <v>148</v>
      </c>
      <c r="B60" s="18" t="s">
        <v>17</v>
      </c>
      <c r="C60" s="18" t="s">
        <v>7</v>
      </c>
      <c r="D60" s="18" t="s">
        <v>17</v>
      </c>
      <c r="E60" s="18"/>
      <c r="F60" s="19">
        <f>F61</f>
        <v>69150461.26</v>
      </c>
      <c r="G60" s="19">
        <f>G61</f>
        <v>404501784.62</v>
      </c>
      <c r="H60" s="19">
        <v>404501784.62</v>
      </c>
      <c r="I60" s="19">
        <v>119730009.13</v>
      </c>
      <c r="J60" s="20">
        <f t="shared" si="5"/>
        <v>29.599377229565903</v>
      </c>
      <c r="K60" s="20">
        <f t="shared" si="1"/>
        <v>173.14419448313595</v>
      </c>
      <c r="L60" s="2"/>
      <c r="M60" s="2"/>
      <c r="N60" s="2"/>
      <c r="O60" s="2"/>
      <c r="P60" s="2"/>
      <c r="Q60" s="2"/>
      <c r="R60" s="2"/>
    </row>
    <row r="61" spans="1:18" ht="31.5" outlineLevel="3">
      <c r="A61" s="10" t="s">
        <v>147</v>
      </c>
      <c r="B61" s="10" t="s">
        <v>17</v>
      </c>
      <c r="C61" s="10" t="s">
        <v>7</v>
      </c>
      <c r="D61" s="10" t="s">
        <v>17</v>
      </c>
      <c r="E61" s="10" t="s">
        <v>35</v>
      </c>
      <c r="F61" s="11">
        <f>8300000+50830418.64+10020042.62</f>
        <v>69150461.26</v>
      </c>
      <c r="G61" s="11">
        <v>404501784.62</v>
      </c>
      <c r="H61" s="11">
        <v>404501784.62</v>
      </c>
      <c r="I61" s="11">
        <v>119730009.13</v>
      </c>
      <c r="J61" s="16">
        <f t="shared" si="5"/>
        <v>29.599377229565903</v>
      </c>
      <c r="K61" s="16">
        <f t="shared" si="1"/>
        <v>173.14419448313595</v>
      </c>
      <c r="L61" s="2"/>
      <c r="M61" s="2"/>
      <c r="N61" s="2"/>
      <c r="O61" s="2"/>
      <c r="P61" s="2"/>
      <c r="Q61" s="2"/>
      <c r="R61" s="2"/>
    </row>
    <row r="62" spans="1:18" ht="47.25" outlineLevel="2">
      <c r="A62" s="18" t="s">
        <v>149</v>
      </c>
      <c r="B62" s="18" t="s">
        <v>17</v>
      </c>
      <c r="C62" s="18" t="s">
        <v>7</v>
      </c>
      <c r="D62" s="18" t="s">
        <v>13</v>
      </c>
      <c r="E62" s="18"/>
      <c r="F62" s="19">
        <f>F64</f>
        <v>175000</v>
      </c>
      <c r="G62" s="19">
        <f>G63+G64+G65</f>
        <v>1479050</v>
      </c>
      <c r="H62" s="19">
        <v>1479050</v>
      </c>
      <c r="I62" s="19">
        <v>105705.88</v>
      </c>
      <c r="J62" s="20">
        <f aca="true" t="shared" si="6" ref="J62:J71">I62/H62*100</f>
        <v>7.14687671140259</v>
      </c>
      <c r="K62" s="20">
        <f t="shared" si="1"/>
        <v>60.403360000000006</v>
      </c>
      <c r="L62" s="2"/>
      <c r="M62" s="2"/>
      <c r="N62" s="2"/>
      <c r="O62" s="2"/>
      <c r="P62" s="2"/>
      <c r="Q62" s="2"/>
      <c r="R62" s="2"/>
    </row>
    <row r="63" spans="1:18" ht="31.5" outlineLevel="3">
      <c r="A63" s="10" t="s">
        <v>119</v>
      </c>
      <c r="B63" s="10" t="s">
        <v>17</v>
      </c>
      <c r="C63" s="10" t="s">
        <v>7</v>
      </c>
      <c r="D63" s="10" t="s">
        <v>13</v>
      </c>
      <c r="E63" s="10" t="s">
        <v>10</v>
      </c>
      <c r="F63" s="11">
        <v>0</v>
      </c>
      <c r="G63" s="11">
        <v>200000</v>
      </c>
      <c r="H63" s="11">
        <v>200000</v>
      </c>
      <c r="I63" s="11">
        <v>0</v>
      </c>
      <c r="J63" s="16">
        <f t="shared" si="6"/>
        <v>0</v>
      </c>
      <c r="K63" s="16"/>
      <c r="L63" s="2"/>
      <c r="M63" s="2"/>
      <c r="N63" s="2"/>
      <c r="O63" s="2"/>
      <c r="P63" s="2"/>
      <c r="Q63" s="2"/>
      <c r="R63" s="2"/>
    </row>
    <row r="64" spans="1:18" ht="15.75" outlineLevel="3">
      <c r="A64" s="10" t="s">
        <v>120</v>
      </c>
      <c r="B64" s="10" t="s">
        <v>17</v>
      </c>
      <c r="C64" s="10" t="s">
        <v>7</v>
      </c>
      <c r="D64" s="10" t="s">
        <v>13</v>
      </c>
      <c r="E64" s="10" t="s">
        <v>11</v>
      </c>
      <c r="F64" s="11">
        <v>175000</v>
      </c>
      <c r="G64" s="11">
        <v>500000</v>
      </c>
      <c r="H64" s="11">
        <v>500000</v>
      </c>
      <c r="I64" s="11">
        <v>0</v>
      </c>
      <c r="J64" s="16">
        <f t="shared" si="6"/>
        <v>0</v>
      </c>
      <c r="K64" s="16">
        <f t="shared" si="1"/>
        <v>0</v>
      </c>
      <c r="L64" s="2"/>
      <c r="M64" s="2"/>
      <c r="N64" s="2"/>
      <c r="O64" s="2"/>
      <c r="P64" s="2"/>
      <c r="Q64" s="2"/>
      <c r="R64" s="2"/>
    </row>
    <row r="65" spans="1:18" ht="31.5" outlineLevel="3">
      <c r="A65" s="10" t="s">
        <v>121</v>
      </c>
      <c r="B65" s="10" t="s">
        <v>17</v>
      </c>
      <c r="C65" s="10" t="s">
        <v>7</v>
      </c>
      <c r="D65" s="10" t="s">
        <v>13</v>
      </c>
      <c r="E65" s="10" t="s">
        <v>12</v>
      </c>
      <c r="F65" s="11">
        <v>0</v>
      </c>
      <c r="G65" s="11">
        <v>779050</v>
      </c>
      <c r="H65" s="11">
        <v>779050</v>
      </c>
      <c r="I65" s="11">
        <v>105705.88</v>
      </c>
      <c r="J65" s="16">
        <f t="shared" si="6"/>
        <v>13.568561709774727</v>
      </c>
      <c r="K65" s="16"/>
      <c r="L65" s="2"/>
      <c r="M65" s="2"/>
      <c r="N65" s="2"/>
      <c r="O65" s="2"/>
      <c r="P65" s="2"/>
      <c r="Q65" s="2"/>
      <c r="R65" s="2"/>
    </row>
    <row r="66" spans="1:18" ht="15.75" outlineLevel="1">
      <c r="A66" s="18" t="s">
        <v>150</v>
      </c>
      <c r="B66" s="18" t="s">
        <v>17</v>
      </c>
      <c r="C66" s="18" t="s">
        <v>24</v>
      </c>
      <c r="D66" s="18"/>
      <c r="E66" s="18"/>
      <c r="F66" s="19">
        <f>F67</f>
        <v>0</v>
      </c>
      <c r="G66" s="19">
        <f>G67</f>
        <v>85000000</v>
      </c>
      <c r="H66" s="19">
        <v>85000000</v>
      </c>
      <c r="I66" s="19">
        <v>12531933</v>
      </c>
      <c r="J66" s="20">
        <f t="shared" si="6"/>
        <v>14.743450588235293</v>
      </c>
      <c r="K66" s="16"/>
      <c r="L66" s="2"/>
      <c r="M66" s="2"/>
      <c r="N66" s="2"/>
      <c r="O66" s="2"/>
      <c r="P66" s="2"/>
      <c r="Q66" s="2"/>
      <c r="R66" s="2"/>
    </row>
    <row r="67" spans="1:18" ht="63" outlineLevel="2">
      <c r="A67" s="18" t="s">
        <v>151</v>
      </c>
      <c r="B67" s="18" t="s">
        <v>17</v>
      </c>
      <c r="C67" s="18" t="s">
        <v>24</v>
      </c>
      <c r="D67" s="18" t="s">
        <v>29</v>
      </c>
      <c r="E67" s="18"/>
      <c r="F67" s="19">
        <f>F68</f>
        <v>0</v>
      </c>
      <c r="G67" s="19">
        <f>G68</f>
        <v>85000000</v>
      </c>
      <c r="H67" s="19">
        <v>85000000</v>
      </c>
      <c r="I67" s="19">
        <v>12531933</v>
      </c>
      <c r="J67" s="20">
        <f t="shared" si="6"/>
        <v>14.743450588235293</v>
      </c>
      <c r="K67" s="16"/>
      <c r="L67" s="2"/>
      <c r="M67" s="2"/>
      <c r="N67" s="2"/>
      <c r="O67" s="2"/>
      <c r="P67" s="2"/>
      <c r="Q67" s="2"/>
      <c r="R67" s="2"/>
    </row>
    <row r="68" spans="1:18" ht="31.5" outlineLevel="3">
      <c r="A68" s="10" t="s">
        <v>147</v>
      </c>
      <c r="B68" s="10" t="s">
        <v>17</v>
      </c>
      <c r="C68" s="10" t="s">
        <v>24</v>
      </c>
      <c r="D68" s="10" t="s">
        <v>29</v>
      </c>
      <c r="E68" s="10" t="s">
        <v>35</v>
      </c>
      <c r="F68" s="11">
        <v>0</v>
      </c>
      <c r="G68" s="11">
        <v>85000000</v>
      </c>
      <c r="H68" s="11">
        <v>85000000</v>
      </c>
      <c r="I68" s="11">
        <v>12531933</v>
      </c>
      <c r="J68" s="16">
        <f t="shared" si="6"/>
        <v>14.743450588235293</v>
      </c>
      <c r="K68" s="16"/>
      <c r="L68" s="2"/>
      <c r="M68" s="2"/>
      <c r="N68" s="2"/>
      <c r="O68" s="2"/>
      <c r="P68" s="2"/>
      <c r="Q68" s="2"/>
      <c r="R68" s="2"/>
    </row>
    <row r="69" spans="1:18" ht="31.5">
      <c r="A69" s="18" t="s">
        <v>36</v>
      </c>
      <c r="B69" s="18" t="s">
        <v>37</v>
      </c>
      <c r="C69" s="18"/>
      <c r="D69" s="18"/>
      <c r="E69" s="18"/>
      <c r="F69" s="19">
        <f>F70+F72+F74+F76+F78+F80+F83+F85</f>
        <v>1486066388.21</v>
      </c>
      <c r="G69" s="19">
        <f>G70+G72+G74+G76+G78+G80+G83+G85</f>
        <v>6465548782.59</v>
      </c>
      <c r="H69" s="19">
        <v>6466048782.59</v>
      </c>
      <c r="I69" s="19">
        <v>1502635566.09</v>
      </c>
      <c r="J69" s="20">
        <f t="shared" si="6"/>
        <v>23.23885291641913</v>
      </c>
      <c r="K69" s="20">
        <f t="shared" si="1"/>
        <v>101.11496888775997</v>
      </c>
      <c r="L69" s="2"/>
      <c r="M69" s="2"/>
      <c r="N69" s="2"/>
      <c r="O69" s="2"/>
      <c r="P69" s="2"/>
      <c r="Q69" s="2"/>
      <c r="R69" s="2"/>
    </row>
    <row r="70" spans="1:18" ht="31.5" outlineLevel="2">
      <c r="A70" s="18" t="s">
        <v>152</v>
      </c>
      <c r="B70" s="18" t="s">
        <v>37</v>
      </c>
      <c r="C70" s="18" t="s">
        <v>7</v>
      </c>
      <c r="D70" s="18" t="s">
        <v>16</v>
      </c>
      <c r="E70" s="18"/>
      <c r="F70" s="19">
        <f>F71</f>
        <v>29921674.759999998</v>
      </c>
      <c r="G70" s="19">
        <f>G71</f>
        <v>124726970</v>
      </c>
      <c r="H70" s="19">
        <v>128300810</v>
      </c>
      <c r="I70" s="19">
        <v>30625748.12</v>
      </c>
      <c r="J70" s="20">
        <f t="shared" si="6"/>
        <v>23.870268722387646</v>
      </c>
      <c r="K70" s="20">
        <f t="shared" si="1"/>
        <v>102.35305465234595</v>
      </c>
      <c r="L70" s="2"/>
      <c r="M70" s="2"/>
      <c r="N70" s="2"/>
      <c r="O70" s="2"/>
      <c r="P70" s="2"/>
      <c r="Q70" s="2"/>
      <c r="R70" s="2"/>
    </row>
    <row r="71" spans="1:18" ht="15.75" outlineLevel="3">
      <c r="A71" s="10" t="s">
        <v>120</v>
      </c>
      <c r="B71" s="10" t="s">
        <v>37</v>
      </c>
      <c r="C71" s="10" t="s">
        <v>7</v>
      </c>
      <c r="D71" s="10" t="s">
        <v>16</v>
      </c>
      <c r="E71" s="10" t="s">
        <v>11</v>
      </c>
      <c r="F71" s="11">
        <f>5576939.22+20331527.4+489287.2+3523920.94</f>
        <v>29921674.759999998</v>
      </c>
      <c r="G71" s="11">
        <v>124726970</v>
      </c>
      <c r="H71" s="11">
        <v>128300810</v>
      </c>
      <c r="I71" s="11">
        <v>30625748.12</v>
      </c>
      <c r="J71" s="16">
        <f t="shared" si="6"/>
        <v>23.870268722387646</v>
      </c>
      <c r="K71" s="16">
        <f aca="true" t="shared" si="7" ref="K71:K134">I71/F71*100</f>
        <v>102.35305465234595</v>
      </c>
      <c r="L71" s="2"/>
      <c r="M71" s="2"/>
      <c r="N71" s="2"/>
      <c r="O71" s="2"/>
      <c r="P71" s="2"/>
      <c r="Q71" s="2"/>
      <c r="R71" s="2"/>
    </row>
    <row r="72" spans="1:18" ht="31.5" outlineLevel="2">
      <c r="A72" s="18" t="s">
        <v>153</v>
      </c>
      <c r="B72" s="18" t="s">
        <v>37</v>
      </c>
      <c r="C72" s="18" t="s">
        <v>7</v>
      </c>
      <c r="D72" s="18" t="s">
        <v>17</v>
      </c>
      <c r="E72" s="18"/>
      <c r="F72" s="19">
        <f>F73</f>
        <v>144334690.71</v>
      </c>
      <c r="G72" s="19">
        <f>G73</f>
        <v>668648435.41</v>
      </c>
      <c r="H72" s="19">
        <v>665921614.41</v>
      </c>
      <c r="I72" s="19">
        <v>157779797.96</v>
      </c>
      <c r="J72" s="20">
        <f aca="true" t="shared" si="8" ref="J72:J80">I72/H72*100</f>
        <v>23.69344898044665</v>
      </c>
      <c r="K72" s="20">
        <f t="shared" si="7"/>
        <v>109.3152291967107</v>
      </c>
      <c r="L72" s="2"/>
      <c r="M72" s="2"/>
      <c r="N72" s="2"/>
      <c r="O72" s="2"/>
      <c r="P72" s="2"/>
      <c r="Q72" s="2"/>
      <c r="R72" s="2"/>
    </row>
    <row r="73" spans="1:18" ht="15.75" outlineLevel="3">
      <c r="A73" s="10" t="s">
        <v>120</v>
      </c>
      <c r="B73" s="10" t="s">
        <v>37</v>
      </c>
      <c r="C73" s="10" t="s">
        <v>7</v>
      </c>
      <c r="D73" s="10" t="s">
        <v>17</v>
      </c>
      <c r="E73" s="10" t="s">
        <v>11</v>
      </c>
      <c r="F73" s="11">
        <f>131427850.36+9798302.95+3108537.4</f>
        <v>144334690.71</v>
      </c>
      <c r="G73" s="11">
        <v>668648435.41</v>
      </c>
      <c r="H73" s="11">
        <v>665921614.41</v>
      </c>
      <c r="I73" s="11">
        <v>157779797.96</v>
      </c>
      <c r="J73" s="16">
        <f t="shared" si="8"/>
        <v>23.69344898044665</v>
      </c>
      <c r="K73" s="16">
        <f t="shared" si="7"/>
        <v>109.3152291967107</v>
      </c>
      <c r="L73" s="2"/>
      <c r="M73" s="2"/>
      <c r="N73" s="2"/>
      <c r="O73" s="2"/>
      <c r="P73" s="2"/>
      <c r="Q73" s="2"/>
      <c r="R73" s="2"/>
    </row>
    <row r="74" spans="1:18" ht="31.5" outlineLevel="2">
      <c r="A74" s="18" t="s">
        <v>154</v>
      </c>
      <c r="B74" s="18" t="s">
        <v>37</v>
      </c>
      <c r="C74" s="18" t="s">
        <v>7</v>
      </c>
      <c r="D74" s="18" t="s">
        <v>38</v>
      </c>
      <c r="E74" s="18"/>
      <c r="F74" s="19">
        <f>F75</f>
        <v>19635512.1</v>
      </c>
      <c r="G74" s="19">
        <f>G75</f>
        <v>100098318</v>
      </c>
      <c r="H74" s="19">
        <v>100098318</v>
      </c>
      <c r="I74" s="19">
        <v>20937231.51</v>
      </c>
      <c r="J74" s="20">
        <f t="shared" si="8"/>
        <v>20.916666661671577</v>
      </c>
      <c r="K74" s="20">
        <f t="shared" si="7"/>
        <v>106.62941411138445</v>
      </c>
      <c r="L74" s="2"/>
      <c r="M74" s="2"/>
      <c r="N74" s="2"/>
      <c r="O74" s="2"/>
      <c r="P74" s="2"/>
      <c r="Q74" s="2"/>
      <c r="R74" s="2"/>
    </row>
    <row r="75" spans="1:18" ht="15.75" outlineLevel="3">
      <c r="A75" s="10" t="s">
        <v>120</v>
      </c>
      <c r="B75" s="10" t="s">
        <v>37</v>
      </c>
      <c r="C75" s="10" t="s">
        <v>7</v>
      </c>
      <c r="D75" s="10" t="s">
        <v>38</v>
      </c>
      <c r="E75" s="10" t="s">
        <v>11</v>
      </c>
      <c r="F75" s="11">
        <v>19635512.1</v>
      </c>
      <c r="G75" s="11">
        <v>100098318</v>
      </c>
      <c r="H75" s="11">
        <v>100098318</v>
      </c>
      <c r="I75" s="11">
        <v>20937231.51</v>
      </c>
      <c r="J75" s="16">
        <f t="shared" si="8"/>
        <v>20.916666661671577</v>
      </c>
      <c r="K75" s="16">
        <f t="shared" si="7"/>
        <v>106.62941411138445</v>
      </c>
      <c r="L75" s="2"/>
      <c r="M75" s="2"/>
      <c r="N75" s="2"/>
      <c r="O75" s="2"/>
      <c r="P75" s="2"/>
      <c r="Q75" s="2"/>
      <c r="R75" s="2"/>
    </row>
    <row r="76" spans="1:18" ht="47.25" outlineLevel="2">
      <c r="A76" s="18" t="s">
        <v>155</v>
      </c>
      <c r="B76" s="18" t="s">
        <v>37</v>
      </c>
      <c r="C76" s="18" t="s">
        <v>7</v>
      </c>
      <c r="D76" s="18" t="s">
        <v>37</v>
      </c>
      <c r="E76" s="18"/>
      <c r="F76" s="19">
        <f>F77</f>
        <v>31972982</v>
      </c>
      <c r="G76" s="19">
        <f>G77</f>
        <v>117783719.5</v>
      </c>
      <c r="H76" s="19">
        <v>117783719.5</v>
      </c>
      <c r="I76" s="19">
        <v>26486975</v>
      </c>
      <c r="J76" s="20">
        <f t="shared" si="8"/>
        <v>22.48780655971728</v>
      </c>
      <c r="K76" s="20">
        <f t="shared" si="7"/>
        <v>82.84174119261068</v>
      </c>
      <c r="L76" s="2"/>
      <c r="M76" s="2"/>
      <c r="N76" s="2"/>
      <c r="O76" s="2"/>
      <c r="P76" s="2"/>
      <c r="Q76" s="2"/>
      <c r="R76" s="2"/>
    </row>
    <row r="77" spans="1:18" ht="15.75" outlineLevel="3">
      <c r="A77" s="10" t="s">
        <v>120</v>
      </c>
      <c r="B77" s="10" t="s">
        <v>37</v>
      </c>
      <c r="C77" s="10" t="s">
        <v>7</v>
      </c>
      <c r="D77" s="10" t="s">
        <v>37</v>
      </c>
      <c r="E77" s="10" t="s">
        <v>11</v>
      </c>
      <c r="F77" s="11">
        <f>9706443.9+22266538.1</f>
        <v>31972982</v>
      </c>
      <c r="G77" s="11">
        <v>117783719.5</v>
      </c>
      <c r="H77" s="11">
        <v>117783719.5</v>
      </c>
      <c r="I77" s="11">
        <v>26486975</v>
      </c>
      <c r="J77" s="16">
        <f t="shared" si="8"/>
        <v>22.48780655971728</v>
      </c>
      <c r="K77" s="16">
        <f t="shared" si="7"/>
        <v>82.84174119261068</v>
      </c>
      <c r="L77" s="2"/>
      <c r="M77" s="2"/>
      <c r="N77" s="2"/>
      <c r="O77" s="2"/>
      <c r="P77" s="2"/>
      <c r="Q77" s="2"/>
      <c r="R77" s="2"/>
    </row>
    <row r="78" spans="1:18" ht="47.25" outlineLevel="2">
      <c r="A78" s="18" t="s">
        <v>156</v>
      </c>
      <c r="B78" s="18" t="s">
        <v>37</v>
      </c>
      <c r="C78" s="18" t="s">
        <v>7</v>
      </c>
      <c r="D78" s="18" t="s">
        <v>39</v>
      </c>
      <c r="E78" s="18"/>
      <c r="F78" s="19">
        <f>F79</f>
        <v>14716885.4</v>
      </c>
      <c r="G78" s="19">
        <f>G79</f>
        <v>94673136.68</v>
      </c>
      <c r="H78" s="19">
        <v>94533617.68</v>
      </c>
      <c r="I78" s="19">
        <v>16629820.9</v>
      </c>
      <c r="J78" s="20">
        <f t="shared" si="8"/>
        <v>17.59143605007543</v>
      </c>
      <c r="K78" s="20">
        <f t="shared" si="7"/>
        <v>112.99823602621788</v>
      </c>
      <c r="L78" s="2"/>
      <c r="M78" s="2"/>
      <c r="N78" s="2"/>
      <c r="O78" s="2"/>
      <c r="P78" s="2"/>
      <c r="Q78" s="2"/>
      <c r="R78" s="2"/>
    </row>
    <row r="79" spans="1:18" ht="15.75" outlineLevel="3">
      <c r="A79" s="10" t="s">
        <v>120</v>
      </c>
      <c r="B79" s="10" t="s">
        <v>37</v>
      </c>
      <c r="C79" s="10" t="s">
        <v>7</v>
      </c>
      <c r="D79" s="10" t="s">
        <v>39</v>
      </c>
      <c r="E79" s="10" t="s">
        <v>11</v>
      </c>
      <c r="F79" s="11">
        <f>14716885.4</f>
        <v>14716885.4</v>
      </c>
      <c r="G79" s="11">
        <v>94673136.68</v>
      </c>
      <c r="H79" s="11">
        <v>94533617.68</v>
      </c>
      <c r="I79" s="11">
        <v>16629820.9</v>
      </c>
      <c r="J79" s="16">
        <f t="shared" si="8"/>
        <v>17.59143605007543</v>
      </c>
      <c r="K79" s="16">
        <f t="shared" si="7"/>
        <v>112.99823602621788</v>
      </c>
      <c r="L79" s="2"/>
      <c r="M79" s="2"/>
      <c r="N79" s="2"/>
      <c r="O79" s="2"/>
      <c r="P79" s="2"/>
      <c r="Q79" s="2"/>
      <c r="R79" s="2"/>
    </row>
    <row r="80" spans="1:18" ht="31.5" outlineLevel="2">
      <c r="A80" s="18" t="s">
        <v>157</v>
      </c>
      <c r="B80" s="18" t="s">
        <v>37</v>
      </c>
      <c r="C80" s="18" t="s">
        <v>7</v>
      </c>
      <c r="D80" s="18" t="s">
        <v>40</v>
      </c>
      <c r="E80" s="18"/>
      <c r="F80" s="19">
        <f>F81+F82</f>
        <v>97178966.08</v>
      </c>
      <c r="G80" s="19">
        <f>G81+G82</f>
        <v>451304550</v>
      </c>
      <c r="H80" s="19">
        <v>451097050</v>
      </c>
      <c r="I80" s="19">
        <v>87401399.91</v>
      </c>
      <c r="J80" s="20">
        <f t="shared" si="8"/>
        <v>19.375298488429486</v>
      </c>
      <c r="K80" s="20">
        <f t="shared" si="7"/>
        <v>89.93859827449606</v>
      </c>
      <c r="L80" s="2"/>
      <c r="M80" s="2"/>
      <c r="N80" s="2"/>
      <c r="O80" s="2"/>
      <c r="P80" s="2"/>
      <c r="Q80" s="2"/>
      <c r="R80" s="2"/>
    </row>
    <row r="81" spans="1:18" ht="15.75" outlineLevel="3">
      <c r="A81" s="10" t="s">
        <v>120</v>
      </c>
      <c r="B81" s="10" t="s">
        <v>37</v>
      </c>
      <c r="C81" s="10" t="s">
        <v>7</v>
      </c>
      <c r="D81" s="10" t="s">
        <v>40</v>
      </c>
      <c r="E81" s="10" t="s">
        <v>11</v>
      </c>
      <c r="F81" s="11">
        <f>9059900.08+71746400+16248666</f>
        <v>97054966.08</v>
      </c>
      <c r="G81" s="11">
        <v>450704550</v>
      </c>
      <c r="H81" s="11">
        <v>450497050</v>
      </c>
      <c r="I81" s="11">
        <v>87294970.57</v>
      </c>
      <c r="J81" s="16">
        <f>I81/H81*100</f>
        <v>19.377478846975798</v>
      </c>
      <c r="K81" s="16">
        <f t="shared" si="7"/>
        <v>89.94384738442433</v>
      </c>
      <c r="L81" s="2"/>
      <c r="M81" s="2"/>
      <c r="N81" s="2"/>
      <c r="O81" s="2"/>
      <c r="P81" s="2"/>
      <c r="Q81" s="2"/>
      <c r="R81" s="2"/>
    </row>
    <row r="82" spans="1:18" ht="31.5" outlineLevel="3">
      <c r="A82" s="10" t="s">
        <v>121</v>
      </c>
      <c r="B82" s="10" t="s">
        <v>37</v>
      </c>
      <c r="C82" s="10" t="s">
        <v>7</v>
      </c>
      <c r="D82" s="10" t="s">
        <v>40</v>
      </c>
      <c r="E82" s="10" t="s">
        <v>12</v>
      </c>
      <c r="F82" s="11">
        <v>124000</v>
      </c>
      <c r="G82" s="11">
        <v>600000</v>
      </c>
      <c r="H82" s="11">
        <v>600000</v>
      </c>
      <c r="I82" s="11">
        <v>106429.34</v>
      </c>
      <c r="J82" s="16">
        <f>I82/H82*100</f>
        <v>17.738223333333334</v>
      </c>
      <c r="K82" s="16">
        <f t="shared" si="7"/>
        <v>85.83011290322581</v>
      </c>
      <c r="L82" s="2"/>
      <c r="M82" s="2"/>
      <c r="N82" s="2"/>
      <c r="O82" s="2"/>
      <c r="P82" s="2"/>
      <c r="Q82" s="2"/>
      <c r="R82" s="2"/>
    </row>
    <row r="83" spans="1:18" ht="31.5" outlineLevel="2">
      <c r="A83" s="18" t="s">
        <v>158</v>
      </c>
      <c r="B83" s="18" t="s">
        <v>37</v>
      </c>
      <c r="C83" s="18" t="s">
        <v>7</v>
      </c>
      <c r="D83" s="18" t="s">
        <v>41</v>
      </c>
      <c r="E83" s="18"/>
      <c r="F83" s="19">
        <f>F84</f>
        <v>1129483266</v>
      </c>
      <c r="G83" s="19">
        <f>G84</f>
        <v>4484787226</v>
      </c>
      <c r="H83" s="19">
        <v>4484787226</v>
      </c>
      <c r="I83" s="19">
        <v>1121196806</v>
      </c>
      <c r="J83" s="20">
        <f aca="true" t="shared" si="9" ref="J83:J92">I83/H83*100</f>
        <v>24.999999988851197</v>
      </c>
      <c r="K83" s="20">
        <f t="shared" si="7"/>
        <v>99.26634946710224</v>
      </c>
      <c r="L83" s="2"/>
      <c r="M83" s="2"/>
      <c r="N83" s="2"/>
      <c r="O83" s="2"/>
      <c r="P83" s="2"/>
      <c r="Q83" s="2"/>
      <c r="R83" s="2"/>
    </row>
    <row r="84" spans="1:18" ht="15.75" outlineLevel="3">
      <c r="A84" s="10" t="s">
        <v>120</v>
      </c>
      <c r="B84" s="10" t="s">
        <v>37</v>
      </c>
      <c r="C84" s="10" t="s">
        <v>7</v>
      </c>
      <c r="D84" s="10" t="s">
        <v>41</v>
      </c>
      <c r="E84" s="10" t="s">
        <v>11</v>
      </c>
      <c r="F84" s="11">
        <f>1113544365.9+15938900.1</f>
        <v>1129483266</v>
      </c>
      <c r="G84" s="11">
        <v>4484787226</v>
      </c>
      <c r="H84" s="11">
        <v>4484787226</v>
      </c>
      <c r="I84" s="11">
        <v>1121196806</v>
      </c>
      <c r="J84" s="16">
        <f t="shared" si="9"/>
        <v>24.999999988851197</v>
      </c>
      <c r="K84" s="16">
        <f t="shared" si="7"/>
        <v>99.26634946710224</v>
      </c>
      <c r="L84" s="2"/>
      <c r="M84" s="2"/>
      <c r="N84" s="2"/>
      <c r="O84" s="2"/>
      <c r="P84" s="2"/>
      <c r="Q84" s="2"/>
      <c r="R84" s="2"/>
    </row>
    <row r="85" spans="1:18" ht="15.75" outlineLevel="2">
      <c r="A85" s="18" t="s">
        <v>159</v>
      </c>
      <c r="B85" s="18" t="s">
        <v>37</v>
      </c>
      <c r="C85" s="18" t="s">
        <v>7</v>
      </c>
      <c r="D85" s="18" t="s">
        <v>42</v>
      </c>
      <c r="E85" s="18"/>
      <c r="F85" s="19">
        <f>F86+F87</f>
        <v>18822411.160000004</v>
      </c>
      <c r="G85" s="19">
        <f>G86+G87</f>
        <v>423526427</v>
      </c>
      <c r="H85" s="19">
        <v>423526427</v>
      </c>
      <c r="I85" s="19">
        <v>41577786.69</v>
      </c>
      <c r="J85" s="20">
        <f t="shared" si="9"/>
        <v>9.817046597189082</v>
      </c>
      <c r="K85" s="20">
        <f t="shared" si="7"/>
        <v>220.89511453430597</v>
      </c>
      <c r="L85" s="2"/>
      <c r="M85" s="2"/>
      <c r="N85" s="2"/>
      <c r="O85" s="2"/>
      <c r="P85" s="2"/>
      <c r="Q85" s="2"/>
      <c r="R85" s="2"/>
    </row>
    <row r="86" spans="1:18" ht="15.75" outlineLevel="3">
      <c r="A86" s="10" t="s">
        <v>120</v>
      </c>
      <c r="B86" s="10" t="s">
        <v>37</v>
      </c>
      <c r="C86" s="10" t="s">
        <v>7</v>
      </c>
      <c r="D86" s="10" t="s">
        <v>42</v>
      </c>
      <c r="E86" s="10" t="s">
        <v>11</v>
      </c>
      <c r="F86" s="11">
        <f>102740.17</f>
        <v>102740.17</v>
      </c>
      <c r="G86" s="11">
        <v>365127000</v>
      </c>
      <c r="H86" s="11">
        <v>365127000</v>
      </c>
      <c r="I86" s="11">
        <v>1555829.42</v>
      </c>
      <c r="J86" s="16">
        <f t="shared" si="9"/>
        <v>0.42610637394659934</v>
      </c>
      <c r="K86" s="16">
        <f t="shared" si="7"/>
        <v>1514.334091524279</v>
      </c>
      <c r="L86" s="2"/>
      <c r="M86" s="2"/>
      <c r="N86" s="2"/>
      <c r="O86" s="2"/>
      <c r="P86" s="2"/>
      <c r="Q86" s="2"/>
      <c r="R86" s="2"/>
    </row>
    <row r="87" spans="1:18" ht="16.5" customHeight="1" outlineLevel="3">
      <c r="A87" s="10" t="s">
        <v>129</v>
      </c>
      <c r="B87" s="10" t="s">
        <v>37</v>
      </c>
      <c r="C87" s="10" t="s">
        <v>7</v>
      </c>
      <c r="D87" s="10" t="s">
        <v>42</v>
      </c>
      <c r="E87" s="10" t="s">
        <v>21</v>
      </c>
      <c r="F87" s="11">
        <f>15219670.99+3500000</f>
        <v>18719670.990000002</v>
      </c>
      <c r="G87" s="11">
        <v>58399427</v>
      </c>
      <c r="H87" s="11">
        <v>58399427</v>
      </c>
      <c r="I87" s="11">
        <v>40021957.27</v>
      </c>
      <c r="J87" s="16">
        <f t="shared" si="9"/>
        <v>68.53142115589593</v>
      </c>
      <c r="K87" s="16">
        <f t="shared" si="7"/>
        <v>213.79626432205794</v>
      </c>
      <c r="L87" s="2"/>
      <c r="M87" s="2"/>
      <c r="N87" s="2"/>
      <c r="O87" s="2"/>
      <c r="P87" s="2"/>
      <c r="Q87" s="2"/>
      <c r="R87" s="2"/>
    </row>
    <row r="88" spans="1:18" ht="31.5">
      <c r="A88" s="18" t="s">
        <v>44</v>
      </c>
      <c r="B88" s="18" t="s">
        <v>39</v>
      </c>
      <c r="C88" s="18"/>
      <c r="D88" s="18"/>
      <c r="E88" s="18"/>
      <c r="F88" s="19">
        <f>F89+F91+F94+F96+F98+F100</f>
        <v>78294259.26</v>
      </c>
      <c r="G88" s="19">
        <f>G89+G91+G94+G96+G98+G100</f>
        <v>386580096</v>
      </c>
      <c r="H88" s="19">
        <v>386640096</v>
      </c>
      <c r="I88" s="19">
        <v>81701010.8</v>
      </c>
      <c r="J88" s="20">
        <f t="shared" si="9"/>
        <v>21.131023824285414</v>
      </c>
      <c r="K88" s="20">
        <f t="shared" si="7"/>
        <v>104.35121498331932</v>
      </c>
      <c r="L88" s="2"/>
      <c r="M88" s="2"/>
      <c r="N88" s="2"/>
      <c r="O88" s="2"/>
      <c r="P88" s="2"/>
      <c r="Q88" s="2"/>
      <c r="R88" s="2"/>
    </row>
    <row r="89" spans="1:18" ht="16.5" customHeight="1" outlineLevel="2">
      <c r="A89" s="18" t="s">
        <v>160</v>
      </c>
      <c r="B89" s="18" t="s">
        <v>39</v>
      </c>
      <c r="C89" s="18" t="s">
        <v>7</v>
      </c>
      <c r="D89" s="18" t="s">
        <v>16</v>
      </c>
      <c r="E89" s="18"/>
      <c r="F89" s="19">
        <f>F90</f>
        <v>8501461.03</v>
      </c>
      <c r="G89" s="19">
        <f>G90</f>
        <v>37899080</v>
      </c>
      <c r="H89" s="19">
        <v>37899080</v>
      </c>
      <c r="I89" s="19">
        <v>11440893.98</v>
      </c>
      <c r="J89" s="20">
        <f t="shared" si="9"/>
        <v>30.18778814683628</v>
      </c>
      <c r="K89" s="20">
        <f t="shared" si="7"/>
        <v>134.57562105651388</v>
      </c>
      <c r="L89" s="2"/>
      <c r="M89" s="2"/>
      <c r="N89" s="2"/>
      <c r="O89" s="2"/>
      <c r="P89" s="2"/>
      <c r="Q89" s="2"/>
      <c r="R89" s="2"/>
    </row>
    <row r="90" spans="1:18" ht="15.75" outlineLevel="3">
      <c r="A90" s="10" t="s">
        <v>161</v>
      </c>
      <c r="B90" s="10" t="s">
        <v>39</v>
      </c>
      <c r="C90" s="10" t="s">
        <v>7</v>
      </c>
      <c r="D90" s="10" t="s">
        <v>16</v>
      </c>
      <c r="E90" s="10" t="s">
        <v>45</v>
      </c>
      <c r="F90" s="11">
        <f>4685732.18+3375328.85+440400</f>
        <v>8501461.03</v>
      </c>
      <c r="G90" s="11">
        <v>37899080</v>
      </c>
      <c r="H90" s="11">
        <v>37899080</v>
      </c>
      <c r="I90" s="11">
        <v>11440893.98</v>
      </c>
      <c r="J90" s="16">
        <f t="shared" si="9"/>
        <v>30.18778814683628</v>
      </c>
      <c r="K90" s="16">
        <f t="shared" si="7"/>
        <v>134.57562105651388</v>
      </c>
      <c r="L90" s="2"/>
      <c r="M90" s="2"/>
      <c r="N90" s="2"/>
      <c r="O90" s="2"/>
      <c r="P90" s="2"/>
      <c r="Q90" s="2"/>
      <c r="R90" s="2"/>
    </row>
    <row r="91" spans="1:18" ht="15.75" outlineLevel="2">
      <c r="A91" s="18" t="s">
        <v>162</v>
      </c>
      <c r="B91" s="18" t="s">
        <v>39</v>
      </c>
      <c r="C91" s="18" t="s">
        <v>7</v>
      </c>
      <c r="D91" s="18" t="s">
        <v>17</v>
      </c>
      <c r="E91" s="18"/>
      <c r="F91" s="19">
        <f>F93</f>
        <v>886750.54</v>
      </c>
      <c r="G91" s="19">
        <f>G92+G93</f>
        <v>60290317</v>
      </c>
      <c r="H91" s="19">
        <v>60290317</v>
      </c>
      <c r="I91" s="19">
        <v>4999.67</v>
      </c>
      <c r="J91" s="20">
        <f t="shared" si="9"/>
        <v>0.008292658338485765</v>
      </c>
      <c r="K91" s="20">
        <f t="shared" si="7"/>
        <v>0.5638192224839242</v>
      </c>
      <c r="L91" s="2"/>
      <c r="M91" s="2"/>
      <c r="N91" s="2"/>
      <c r="O91" s="2"/>
      <c r="P91" s="2"/>
      <c r="Q91" s="2"/>
      <c r="R91" s="2"/>
    </row>
    <row r="92" spans="1:18" ht="15.75" outlineLevel="3">
      <c r="A92" s="10" t="s">
        <v>161</v>
      </c>
      <c r="B92" s="10" t="s">
        <v>39</v>
      </c>
      <c r="C92" s="10" t="s">
        <v>7</v>
      </c>
      <c r="D92" s="10" t="s">
        <v>17</v>
      </c>
      <c r="E92" s="10" t="s">
        <v>45</v>
      </c>
      <c r="F92" s="11">
        <v>0</v>
      </c>
      <c r="G92" s="11">
        <v>55757000</v>
      </c>
      <c r="H92" s="11">
        <v>55757000</v>
      </c>
      <c r="I92" s="11">
        <v>0</v>
      </c>
      <c r="J92" s="16">
        <f t="shared" si="9"/>
        <v>0</v>
      </c>
      <c r="K92" s="16"/>
      <c r="L92" s="2"/>
      <c r="M92" s="2"/>
      <c r="N92" s="2"/>
      <c r="O92" s="2"/>
      <c r="P92" s="2"/>
      <c r="Q92" s="2"/>
      <c r="R92" s="2"/>
    </row>
    <row r="93" spans="1:18" ht="16.5" customHeight="1" outlineLevel="3">
      <c r="A93" s="10" t="s">
        <v>129</v>
      </c>
      <c r="B93" s="10" t="s">
        <v>39</v>
      </c>
      <c r="C93" s="10" t="s">
        <v>7</v>
      </c>
      <c r="D93" s="10" t="s">
        <v>17</v>
      </c>
      <c r="E93" s="10" t="s">
        <v>21</v>
      </c>
      <c r="F93" s="11">
        <f>886750.54</f>
        <v>886750.54</v>
      </c>
      <c r="G93" s="11">
        <v>4533317</v>
      </c>
      <c r="H93" s="11">
        <v>4533317</v>
      </c>
      <c r="I93" s="11">
        <v>4999.67</v>
      </c>
      <c r="J93" s="16">
        <f aca="true" t="shared" si="10" ref="J93:J99">I93/H93*100</f>
        <v>0.11028723559371648</v>
      </c>
      <c r="K93" s="16">
        <f t="shared" si="7"/>
        <v>0.5638192224839242</v>
      </c>
      <c r="L93" s="2"/>
      <c r="M93" s="2"/>
      <c r="N93" s="2"/>
      <c r="O93" s="2"/>
      <c r="P93" s="2"/>
      <c r="Q93" s="2"/>
      <c r="R93" s="2"/>
    </row>
    <row r="94" spans="1:18" ht="47.25" outlineLevel="2">
      <c r="A94" s="18" t="s">
        <v>163</v>
      </c>
      <c r="B94" s="18" t="s">
        <v>39</v>
      </c>
      <c r="C94" s="18" t="s">
        <v>7</v>
      </c>
      <c r="D94" s="18" t="s">
        <v>38</v>
      </c>
      <c r="E94" s="18"/>
      <c r="F94" s="19">
        <f>F95</f>
        <v>18945304.6</v>
      </c>
      <c r="G94" s="19">
        <f>G95</f>
        <v>73869120.2</v>
      </c>
      <c r="H94" s="19">
        <v>73869120.2</v>
      </c>
      <c r="I94" s="19">
        <v>18834883.04</v>
      </c>
      <c r="J94" s="20">
        <f t="shared" si="10"/>
        <v>25.49764094794241</v>
      </c>
      <c r="K94" s="20">
        <f t="shared" si="7"/>
        <v>99.41715605881575</v>
      </c>
      <c r="L94" s="2"/>
      <c r="M94" s="2"/>
      <c r="N94" s="2"/>
      <c r="O94" s="2"/>
      <c r="P94" s="2"/>
      <c r="Q94" s="2"/>
      <c r="R94" s="2"/>
    </row>
    <row r="95" spans="1:18" ht="15.75" outlineLevel="3">
      <c r="A95" s="10" t="s">
        <v>161</v>
      </c>
      <c r="B95" s="10" t="s">
        <v>39</v>
      </c>
      <c r="C95" s="10" t="s">
        <v>7</v>
      </c>
      <c r="D95" s="10" t="s">
        <v>38</v>
      </c>
      <c r="E95" s="10" t="s">
        <v>45</v>
      </c>
      <c r="F95" s="11">
        <f>17346037+544230+175502.6+879535</f>
        <v>18945304.6</v>
      </c>
      <c r="G95" s="11">
        <v>73869120.2</v>
      </c>
      <c r="H95" s="11">
        <v>73869120.2</v>
      </c>
      <c r="I95" s="11">
        <v>18834883.04</v>
      </c>
      <c r="J95" s="16">
        <f t="shared" si="10"/>
        <v>25.49764094794241</v>
      </c>
      <c r="K95" s="16">
        <f t="shared" si="7"/>
        <v>99.41715605881575</v>
      </c>
      <c r="L95" s="2"/>
      <c r="M95" s="2"/>
      <c r="N95" s="2"/>
      <c r="O95" s="2"/>
      <c r="P95" s="2"/>
      <c r="Q95" s="2"/>
      <c r="R95" s="2"/>
    </row>
    <row r="96" spans="1:18" ht="47.25" outlineLevel="2">
      <c r="A96" s="18" t="s">
        <v>164</v>
      </c>
      <c r="B96" s="18" t="s">
        <v>39</v>
      </c>
      <c r="C96" s="18" t="s">
        <v>7</v>
      </c>
      <c r="D96" s="18" t="s">
        <v>9</v>
      </c>
      <c r="E96" s="18"/>
      <c r="F96" s="19">
        <f>F97</f>
        <v>45860681.88</v>
      </c>
      <c r="G96" s="19">
        <f>G97</f>
        <v>183686938.8</v>
      </c>
      <c r="H96" s="19">
        <v>183746938.8</v>
      </c>
      <c r="I96" s="19">
        <v>46848341.77</v>
      </c>
      <c r="J96" s="20">
        <f t="shared" si="10"/>
        <v>25.4961209563291</v>
      </c>
      <c r="K96" s="20">
        <f t="shared" si="7"/>
        <v>102.15360925636547</v>
      </c>
      <c r="L96" s="2"/>
      <c r="M96" s="2"/>
      <c r="N96" s="2"/>
      <c r="O96" s="2"/>
      <c r="P96" s="2"/>
      <c r="Q96" s="2"/>
      <c r="R96" s="2"/>
    </row>
    <row r="97" spans="1:18" ht="15.75" outlineLevel="3">
      <c r="A97" s="10" t="s">
        <v>161</v>
      </c>
      <c r="B97" s="10" t="s">
        <v>39</v>
      </c>
      <c r="C97" s="10" t="s">
        <v>7</v>
      </c>
      <c r="D97" s="10" t="s">
        <v>9</v>
      </c>
      <c r="E97" s="10" t="s">
        <v>45</v>
      </c>
      <c r="F97" s="11">
        <f>10984086.67+16722303.46+18146291.75+8000</f>
        <v>45860681.88</v>
      </c>
      <c r="G97" s="11">
        <v>183686938.8</v>
      </c>
      <c r="H97" s="11">
        <v>183746938.8</v>
      </c>
      <c r="I97" s="11">
        <v>46848341.77</v>
      </c>
      <c r="J97" s="16">
        <f t="shared" si="10"/>
        <v>25.4961209563291</v>
      </c>
      <c r="K97" s="16">
        <f t="shared" si="7"/>
        <v>102.15360925636547</v>
      </c>
      <c r="L97" s="2"/>
      <c r="M97" s="2"/>
      <c r="N97" s="2"/>
      <c r="O97" s="2"/>
      <c r="P97" s="2"/>
      <c r="Q97" s="2"/>
      <c r="R97" s="2"/>
    </row>
    <row r="98" spans="1:18" ht="31.5" outlineLevel="2">
      <c r="A98" s="18" t="s">
        <v>165</v>
      </c>
      <c r="B98" s="18" t="s">
        <v>39</v>
      </c>
      <c r="C98" s="18" t="s">
        <v>7</v>
      </c>
      <c r="D98" s="18" t="s">
        <v>25</v>
      </c>
      <c r="E98" s="18"/>
      <c r="F98" s="19">
        <f>F99</f>
        <v>3459835.22</v>
      </c>
      <c r="G98" s="19">
        <f>G99</f>
        <v>16390640</v>
      </c>
      <c r="H98" s="19">
        <v>16390640</v>
      </c>
      <c r="I98" s="19">
        <v>4338251.24</v>
      </c>
      <c r="J98" s="20">
        <f t="shared" si="10"/>
        <v>26.467857508919728</v>
      </c>
      <c r="K98" s="20">
        <f t="shared" si="7"/>
        <v>125.3889553734296</v>
      </c>
      <c r="L98" s="2"/>
      <c r="M98" s="2"/>
      <c r="N98" s="2"/>
      <c r="O98" s="2"/>
      <c r="P98" s="2"/>
      <c r="Q98" s="2"/>
      <c r="R98" s="2"/>
    </row>
    <row r="99" spans="1:18" ht="15.75" outlineLevel="3">
      <c r="A99" s="10" t="s">
        <v>161</v>
      </c>
      <c r="B99" s="10" t="s">
        <v>39</v>
      </c>
      <c r="C99" s="10" t="s">
        <v>7</v>
      </c>
      <c r="D99" s="10" t="s">
        <v>25</v>
      </c>
      <c r="E99" s="10" t="s">
        <v>45</v>
      </c>
      <c r="F99" s="11">
        <v>3459835.22</v>
      </c>
      <c r="G99" s="11">
        <v>16390640</v>
      </c>
      <c r="H99" s="11">
        <v>16390640</v>
      </c>
      <c r="I99" s="11">
        <v>4338251.24</v>
      </c>
      <c r="J99" s="16">
        <f t="shared" si="10"/>
        <v>26.467857508919728</v>
      </c>
      <c r="K99" s="16">
        <f t="shared" si="7"/>
        <v>125.3889553734296</v>
      </c>
      <c r="L99" s="2"/>
      <c r="M99" s="2"/>
      <c r="N99" s="2"/>
      <c r="O99" s="2"/>
      <c r="P99" s="2"/>
      <c r="Q99" s="2"/>
      <c r="R99" s="2"/>
    </row>
    <row r="100" spans="1:18" ht="33" customHeight="1" outlineLevel="1">
      <c r="A100" s="18" t="s">
        <v>166</v>
      </c>
      <c r="B100" s="18" t="s">
        <v>39</v>
      </c>
      <c r="C100" s="18" t="s">
        <v>24</v>
      </c>
      <c r="D100" s="18"/>
      <c r="E100" s="18"/>
      <c r="F100" s="19">
        <f>F101</f>
        <v>640225.99</v>
      </c>
      <c r="G100" s="19">
        <f>G101</f>
        <v>14444000</v>
      </c>
      <c r="H100" s="19">
        <v>14444000</v>
      </c>
      <c r="I100" s="19">
        <v>233641.1</v>
      </c>
      <c r="J100" s="20">
        <f aca="true" t="shared" si="11" ref="J100:J106">I100/H100*100</f>
        <v>1.6175650789255054</v>
      </c>
      <c r="K100" s="20">
        <f t="shared" si="7"/>
        <v>36.49353566542965</v>
      </c>
      <c r="L100" s="2"/>
      <c r="M100" s="2"/>
      <c r="N100" s="2"/>
      <c r="O100" s="2"/>
      <c r="P100" s="2"/>
      <c r="Q100" s="2"/>
      <c r="R100" s="2"/>
    </row>
    <row r="101" spans="1:18" ht="31.5" outlineLevel="2">
      <c r="A101" s="18" t="s">
        <v>167</v>
      </c>
      <c r="B101" s="18" t="s">
        <v>39</v>
      </c>
      <c r="C101" s="18" t="s">
        <v>24</v>
      </c>
      <c r="D101" s="18" t="s">
        <v>16</v>
      </c>
      <c r="E101" s="18"/>
      <c r="F101" s="19">
        <f>F102</f>
        <v>640225.99</v>
      </c>
      <c r="G101" s="19">
        <f>G102</f>
        <v>14444000</v>
      </c>
      <c r="H101" s="19">
        <v>14444000</v>
      </c>
      <c r="I101" s="19">
        <v>233641.1</v>
      </c>
      <c r="J101" s="20">
        <f t="shared" si="11"/>
        <v>1.6175650789255054</v>
      </c>
      <c r="K101" s="20">
        <f t="shared" si="7"/>
        <v>36.49353566542965</v>
      </c>
      <c r="L101" s="2"/>
      <c r="M101" s="2"/>
      <c r="N101" s="2"/>
      <c r="O101" s="2"/>
      <c r="P101" s="2"/>
      <c r="Q101" s="2"/>
      <c r="R101" s="2"/>
    </row>
    <row r="102" spans="1:18" ht="15.75" outlineLevel="3">
      <c r="A102" s="10" t="s">
        <v>161</v>
      </c>
      <c r="B102" s="10" t="s">
        <v>39</v>
      </c>
      <c r="C102" s="10" t="s">
        <v>24</v>
      </c>
      <c r="D102" s="10" t="s">
        <v>16</v>
      </c>
      <c r="E102" s="10" t="s">
        <v>45</v>
      </c>
      <c r="F102" s="11">
        <f>435536.28+204689.71</f>
        <v>640225.99</v>
      </c>
      <c r="G102" s="11">
        <v>14444000</v>
      </c>
      <c r="H102" s="11">
        <v>14444000</v>
      </c>
      <c r="I102" s="11">
        <v>233641.1</v>
      </c>
      <c r="J102" s="16">
        <f t="shared" si="11"/>
        <v>1.6175650789255054</v>
      </c>
      <c r="K102" s="16">
        <f t="shared" si="7"/>
        <v>36.49353566542965</v>
      </c>
      <c r="L102" s="2"/>
      <c r="M102" s="2"/>
      <c r="N102" s="2"/>
      <c r="O102" s="2"/>
      <c r="P102" s="2"/>
      <c r="Q102" s="2"/>
      <c r="R102" s="2"/>
    </row>
    <row r="103" spans="1:18" ht="31.5">
      <c r="A103" s="18" t="s">
        <v>46</v>
      </c>
      <c r="B103" s="18" t="s">
        <v>40</v>
      </c>
      <c r="C103" s="18"/>
      <c r="D103" s="18"/>
      <c r="E103" s="18"/>
      <c r="F103" s="19">
        <f>F104+F106+F108+F110+F113+F115+F117</f>
        <v>2455534470.17</v>
      </c>
      <c r="G103" s="19">
        <f>G104+G106+G108+G110+G113+G115+G117+G119</f>
        <v>8838386270</v>
      </c>
      <c r="H103" s="19">
        <v>8838386270</v>
      </c>
      <c r="I103" s="19">
        <v>2124799250.69</v>
      </c>
      <c r="J103" s="20">
        <f t="shared" si="11"/>
        <v>24.04057919376271</v>
      </c>
      <c r="K103" s="20">
        <f t="shared" si="7"/>
        <v>86.53102925258048</v>
      </c>
      <c r="L103" s="2"/>
      <c r="M103" s="2"/>
      <c r="N103" s="2"/>
      <c r="O103" s="2"/>
      <c r="P103" s="2"/>
      <c r="Q103" s="2"/>
      <c r="R103" s="2"/>
    </row>
    <row r="104" spans="1:18" ht="31.5" outlineLevel="2">
      <c r="A104" s="18" t="s">
        <v>168</v>
      </c>
      <c r="B104" s="18" t="s">
        <v>40</v>
      </c>
      <c r="C104" s="18" t="s">
        <v>7</v>
      </c>
      <c r="D104" s="18" t="s">
        <v>16</v>
      </c>
      <c r="E104" s="18"/>
      <c r="F104" s="19">
        <f>F105</f>
        <v>34796983.51</v>
      </c>
      <c r="G104" s="19">
        <f>G105</f>
        <v>159124283</v>
      </c>
      <c r="H104" s="19">
        <v>159124283</v>
      </c>
      <c r="I104" s="19">
        <v>64611493.5</v>
      </c>
      <c r="J104" s="20">
        <f t="shared" si="11"/>
        <v>40.6044208224335</v>
      </c>
      <c r="K104" s="20">
        <f t="shared" si="7"/>
        <v>185.6813062012455</v>
      </c>
      <c r="L104" s="2"/>
      <c r="M104" s="2"/>
      <c r="N104" s="2"/>
      <c r="O104" s="2"/>
      <c r="P104" s="2"/>
      <c r="Q104" s="2"/>
      <c r="R104" s="2"/>
    </row>
    <row r="105" spans="1:18" ht="15.75" outlineLevel="3">
      <c r="A105" s="10" t="s">
        <v>169</v>
      </c>
      <c r="B105" s="10" t="s">
        <v>40</v>
      </c>
      <c r="C105" s="10" t="s">
        <v>7</v>
      </c>
      <c r="D105" s="10" t="s">
        <v>16</v>
      </c>
      <c r="E105" s="10" t="s">
        <v>47</v>
      </c>
      <c r="F105" s="11">
        <f>7070033.01+14272160+11420000+2034790.5</f>
        <v>34796983.51</v>
      </c>
      <c r="G105" s="11">
        <v>159124283</v>
      </c>
      <c r="H105" s="11">
        <v>159124283</v>
      </c>
      <c r="I105" s="11">
        <v>64611493.5</v>
      </c>
      <c r="J105" s="16">
        <f t="shared" si="11"/>
        <v>40.6044208224335</v>
      </c>
      <c r="K105" s="16">
        <f t="shared" si="7"/>
        <v>185.6813062012455</v>
      </c>
      <c r="L105" s="2"/>
      <c r="M105" s="2"/>
      <c r="N105" s="2"/>
      <c r="O105" s="2"/>
      <c r="P105" s="2"/>
      <c r="Q105" s="2"/>
      <c r="R105" s="2"/>
    </row>
    <row r="106" spans="1:18" ht="47.25" outlineLevel="2">
      <c r="A106" s="18" t="s">
        <v>170</v>
      </c>
      <c r="B106" s="18" t="s">
        <v>40</v>
      </c>
      <c r="C106" s="18" t="s">
        <v>7</v>
      </c>
      <c r="D106" s="18" t="s">
        <v>17</v>
      </c>
      <c r="E106" s="18"/>
      <c r="F106" s="19">
        <f>F107</f>
        <v>2058588121.88</v>
      </c>
      <c r="G106" s="19">
        <f>G107</f>
        <v>7436980388</v>
      </c>
      <c r="H106" s="19">
        <v>7436980388</v>
      </c>
      <c r="I106" s="19">
        <v>1720332011.03</v>
      </c>
      <c r="J106" s="20">
        <f t="shared" si="11"/>
        <v>23.132130532519028</v>
      </c>
      <c r="K106" s="20">
        <f t="shared" si="7"/>
        <v>83.56853868654946</v>
      </c>
      <c r="L106" s="2"/>
      <c r="M106" s="2"/>
      <c r="N106" s="2"/>
      <c r="O106" s="2"/>
      <c r="P106" s="2"/>
      <c r="Q106" s="2"/>
      <c r="R106" s="2"/>
    </row>
    <row r="107" spans="1:18" ht="15.75" outlineLevel="3">
      <c r="A107" s="10" t="s">
        <v>169</v>
      </c>
      <c r="B107" s="10" t="s">
        <v>40</v>
      </c>
      <c r="C107" s="10" t="s">
        <v>7</v>
      </c>
      <c r="D107" s="10" t="s">
        <v>17</v>
      </c>
      <c r="E107" s="10" t="s">
        <v>47</v>
      </c>
      <c r="F107" s="11">
        <f>154484047.85+26057247.03+2431430+20287827+1190611350+616535140+1243580+46937500</f>
        <v>2058588121.88</v>
      </c>
      <c r="G107" s="11">
        <v>7436980388</v>
      </c>
      <c r="H107" s="11">
        <v>7436980388</v>
      </c>
      <c r="I107" s="11">
        <v>1720332011.03</v>
      </c>
      <c r="J107" s="16">
        <f>I107/H107*100</f>
        <v>23.132130532519028</v>
      </c>
      <c r="K107" s="16">
        <f t="shared" si="7"/>
        <v>83.56853868654946</v>
      </c>
      <c r="L107" s="2"/>
      <c r="M107" s="2"/>
      <c r="N107" s="2"/>
      <c r="O107" s="2"/>
      <c r="P107" s="2"/>
      <c r="Q107" s="2"/>
      <c r="R107" s="2"/>
    </row>
    <row r="108" spans="1:18" ht="47.25" outlineLevel="2">
      <c r="A108" s="18" t="s">
        <v>171</v>
      </c>
      <c r="B108" s="18" t="s">
        <v>40</v>
      </c>
      <c r="C108" s="18" t="s">
        <v>7</v>
      </c>
      <c r="D108" s="18" t="s">
        <v>38</v>
      </c>
      <c r="E108" s="18"/>
      <c r="F108" s="19">
        <f>F109</f>
        <v>300985769</v>
      </c>
      <c r="G108" s="19">
        <f>G109</f>
        <v>783481000</v>
      </c>
      <c r="H108" s="19">
        <v>783481000</v>
      </c>
      <c r="I108" s="19">
        <v>295849190</v>
      </c>
      <c r="J108" s="20">
        <f>I108/H108*100</f>
        <v>37.76086337766966</v>
      </c>
      <c r="K108" s="20">
        <f t="shared" si="7"/>
        <v>98.29341466307</v>
      </c>
      <c r="L108" s="2"/>
      <c r="M108" s="2"/>
      <c r="N108" s="2"/>
      <c r="O108" s="2"/>
      <c r="P108" s="2"/>
      <c r="Q108" s="2"/>
      <c r="R108" s="2"/>
    </row>
    <row r="109" spans="1:18" ht="15.75" outlineLevel="3">
      <c r="A109" s="10" t="s">
        <v>169</v>
      </c>
      <c r="B109" s="10" t="s">
        <v>40</v>
      </c>
      <c r="C109" s="10" t="s">
        <v>7</v>
      </c>
      <c r="D109" s="10" t="s">
        <v>38</v>
      </c>
      <c r="E109" s="10" t="s">
        <v>47</v>
      </c>
      <c r="F109" s="11">
        <f>300985769</f>
        <v>300985769</v>
      </c>
      <c r="G109" s="11">
        <v>783481000</v>
      </c>
      <c r="H109" s="11">
        <v>783481000</v>
      </c>
      <c r="I109" s="11">
        <v>295849190</v>
      </c>
      <c r="J109" s="16">
        <f>I109/H109*100</f>
        <v>37.76086337766966</v>
      </c>
      <c r="K109" s="16">
        <f t="shared" si="7"/>
        <v>98.29341466307</v>
      </c>
      <c r="L109" s="2"/>
      <c r="M109" s="2"/>
      <c r="N109" s="2"/>
      <c r="O109" s="2"/>
      <c r="P109" s="2"/>
      <c r="Q109" s="2"/>
      <c r="R109" s="2"/>
    </row>
    <row r="110" spans="1:18" ht="15.75" outlineLevel="2">
      <c r="A110" s="18" t="s">
        <v>172</v>
      </c>
      <c r="B110" s="18" t="s">
        <v>40</v>
      </c>
      <c r="C110" s="18" t="s">
        <v>7</v>
      </c>
      <c r="D110" s="18" t="s">
        <v>37</v>
      </c>
      <c r="E110" s="18"/>
      <c r="F110" s="19">
        <f>F112</f>
        <v>15529012.93</v>
      </c>
      <c r="G110" s="19">
        <f>G111+G112</f>
        <v>50460280</v>
      </c>
      <c r="H110" s="19">
        <v>50460280</v>
      </c>
      <c r="I110" s="19">
        <v>9997075.98</v>
      </c>
      <c r="J110" s="20">
        <f aca="true" t="shared" si="12" ref="J110:J120">I110/H110*100</f>
        <v>19.81177270518515</v>
      </c>
      <c r="K110" s="20">
        <f t="shared" si="7"/>
        <v>64.37676383594845</v>
      </c>
      <c r="L110" s="2"/>
      <c r="M110" s="2"/>
      <c r="N110" s="2"/>
      <c r="O110" s="2"/>
      <c r="P110" s="2"/>
      <c r="Q110" s="2"/>
      <c r="R110" s="2"/>
    </row>
    <row r="111" spans="1:18" ht="15.75" outlineLevel="3">
      <c r="A111" s="10" t="s">
        <v>169</v>
      </c>
      <c r="B111" s="10" t="s">
        <v>40</v>
      </c>
      <c r="C111" s="10" t="s">
        <v>7</v>
      </c>
      <c r="D111" s="10" t="s">
        <v>37</v>
      </c>
      <c r="E111" s="10" t="s">
        <v>47</v>
      </c>
      <c r="F111" s="11">
        <v>0</v>
      </c>
      <c r="G111" s="11">
        <v>1000000</v>
      </c>
      <c r="H111" s="11">
        <v>1000000</v>
      </c>
      <c r="I111" s="11">
        <v>0</v>
      </c>
      <c r="J111" s="16">
        <f t="shared" si="12"/>
        <v>0</v>
      </c>
      <c r="K111" s="16"/>
      <c r="L111" s="2"/>
      <c r="M111" s="2"/>
      <c r="N111" s="2"/>
      <c r="O111" s="2"/>
      <c r="P111" s="2"/>
      <c r="Q111" s="2"/>
      <c r="R111" s="2"/>
    </row>
    <row r="112" spans="1:18" ht="16.5" customHeight="1" outlineLevel="3">
      <c r="A112" s="10" t="s">
        <v>129</v>
      </c>
      <c r="B112" s="10" t="s">
        <v>40</v>
      </c>
      <c r="C112" s="10" t="s">
        <v>7</v>
      </c>
      <c r="D112" s="10" t="s">
        <v>37</v>
      </c>
      <c r="E112" s="10" t="s">
        <v>21</v>
      </c>
      <c r="F112" s="11">
        <f>13376733+2152279.93</f>
        <v>15529012.93</v>
      </c>
      <c r="G112" s="11">
        <v>49460280</v>
      </c>
      <c r="H112" s="11">
        <v>49460280</v>
      </c>
      <c r="I112" s="11">
        <v>9997075.98</v>
      </c>
      <c r="J112" s="16">
        <f t="shared" si="12"/>
        <v>20.212331956066564</v>
      </c>
      <c r="K112" s="16">
        <f t="shared" si="7"/>
        <v>64.37676383594845</v>
      </c>
      <c r="L112" s="2"/>
      <c r="M112" s="2"/>
      <c r="N112" s="2"/>
      <c r="O112" s="2"/>
      <c r="P112" s="2"/>
      <c r="Q112" s="2"/>
      <c r="R112" s="2"/>
    </row>
    <row r="113" spans="1:18" ht="47.25" outlineLevel="2">
      <c r="A113" s="18" t="s">
        <v>173</v>
      </c>
      <c r="B113" s="18" t="s">
        <v>40</v>
      </c>
      <c r="C113" s="18" t="s">
        <v>7</v>
      </c>
      <c r="D113" s="18" t="s">
        <v>39</v>
      </c>
      <c r="E113" s="18"/>
      <c r="F113" s="19">
        <f>F114</f>
        <v>32879748.5</v>
      </c>
      <c r="G113" s="19">
        <f>G114</f>
        <v>130281180</v>
      </c>
      <c r="H113" s="19">
        <v>130281180</v>
      </c>
      <c r="I113" s="19">
        <v>20249113.05</v>
      </c>
      <c r="J113" s="20">
        <f t="shared" si="12"/>
        <v>15.542623309061218</v>
      </c>
      <c r="K113" s="20">
        <f t="shared" si="7"/>
        <v>61.585364772482976</v>
      </c>
      <c r="L113" s="2"/>
      <c r="M113" s="2"/>
      <c r="N113" s="2"/>
      <c r="O113" s="2"/>
      <c r="P113" s="2"/>
      <c r="Q113" s="2"/>
      <c r="R113" s="2"/>
    </row>
    <row r="114" spans="1:18" ht="15.75" outlineLevel="3">
      <c r="A114" s="10" t="s">
        <v>169</v>
      </c>
      <c r="B114" s="10" t="s">
        <v>40</v>
      </c>
      <c r="C114" s="10" t="s">
        <v>7</v>
      </c>
      <c r="D114" s="10" t="s">
        <v>39</v>
      </c>
      <c r="E114" s="10" t="s">
        <v>47</v>
      </c>
      <c r="F114" s="11">
        <f>32856200+23548.5</f>
        <v>32879748.5</v>
      </c>
      <c r="G114" s="11">
        <v>130281180</v>
      </c>
      <c r="H114" s="11">
        <v>130281180</v>
      </c>
      <c r="I114" s="11">
        <v>20249113.05</v>
      </c>
      <c r="J114" s="16">
        <f t="shared" si="12"/>
        <v>15.542623309061218</v>
      </c>
      <c r="K114" s="16">
        <f t="shared" si="7"/>
        <v>61.585364772482976</v>
      </c>
      <c r="L114" s="2"/>
      <c r="M114" s="2"/>
      <c r="N114" s="2"/>
      <c r="O114" s="2"/>
      <c r="P114" s="2"/>
      <c r="Q114" s="2"/>
      <c r="R114" s="2"/>
    </row>
    <row r="115" spans="1:18" ht="31.5" outlineLevel="2">
      <c r="A115" s="18" t="s">
        <v>174</v>
      </c>
      <c r="B115" s="18" t="s">
        <v>40</v>
      </c>
      <c r="C115" s="18" t="s">
        <v>7</v>
      </c>
      <c r="D115" s="18" t="s">
        <v>48</v>
      </c>
      <c r="E115" s="18"/>
      <c r="F115" s="19">
        <f>F116</f>
        <v>235200</v>
      </c>
      <c r="G115" s="19">
        <f>G116</f>
        <v>2133786</v>
      </c>
      <c r="H115" s="19">
        <v>2133786</v>
      </c>
      <c r="I115" s="19">
        <v>1390075</v>
      </c>
      <c r="J115" s="20">
        <f t="shared" si="12"/>
        <v>65.14594247033207</v>
      </c>
      <c r="K115" s="20">
        <f t="shared" si="7"/>
        <v>591.0182823129252</v>
      </c>
      <c r="L115" s="2"/>
      <c r="M115" s="2"/>
      <c r="N115" s="2"/>
      <c r="O115" s="2"/>
      <c r="P115" s="2"/>
      <c r="Q115" s="2"/>
      <c r="R115" s="2"/>
    </row>
    <row r="116" spans="1:18" ht="15.75" outlineLevel="3">
      <c r="A116" s="10" t="s">
        <v>169</v>
      </c>
      <c r="B116" s="10" t="s">
        <v>40</v>
      </c>
      <c r="C116" s="10" t="s">
        <v>7</v>
      </c>
      <c r="D116" s="10" t="s">
        <v>48</v>
      </c>
      <c r="E116" s="10" t="s">
        <v>47</v>
      </c>
      <c r="F116" s="11">
        <v>235200</v>
      </c>
      <c r="G116" s="11">
        <v>2133786</v>
      </c>
      <c r="H116" s="11">
        <v>2133786</v>
      </c>
      <c r="I116" s="11">
        <v>1390075</v>
      </c>
      <c r="J116" s="16">
        <f t="shared" si="12"/>
        <v>65.14594247033207</v>
      </c>
      <c r="K116" s="16">
        <f t="shared" si="7"/>
        <v>591.0182823129252</v>
      </c>
      <c r="L116" s="2"/>
      <c r="M116" s="2"/>
      <c r="N116" s="2"/>
      <c r="O116" s="2"/>
      <c r="P116" s="2"/>
      <c r="Q116" s="2"/>
      <c r="R116" s="2"/>
    </row>
    <row r="117" spans="1:18" ht="15.75" outlineLevel="2">
      <c r="A117" s="18" t="s">
        <v>175</v>
      </c>
      <c r="B117" s="18" t="s">
        <v>40</v>
      </c>
      <c r="C117" s="18" t="s">
        <v>7</v>
      </c>
      <c r="D117" s="18" t="s">
        <v>49</v>
      </c>
      <c r="E117" s="18"/>
      <c r="F117" s="19">
        <f>F118</f>
        <v>12519634.35</v>
      </c>
      <c r="G117" s="19">
        <f>G118</f>
        <v>243603165</v>
      </c>
      <c r="H117" s="19">
        <v>243603165</v>
      </c>
      <c r="I117" s="19">
        <v>12370292.13</v>
      </c>
      <c r="J117" s="20">
        <f t="shared" si="12"/>
        <v>5.078050660794986</v>
      </c>
      <c r="K117" s="20">
        <f t="shared" si="7"/>
        <v>98.80713592885402</v>
      </c>
      <c r="L117" s="2"/>
      <c r="M117" s="2"/>
      <c r="N117" s="2"/>
      <c r="O117" s="2"/>
      <c r="P117" s="2"/>
      <c r="Q117" s="2"/>
      <c r="R117" s="2"/>
    </row>
    <row r="118" spans="1:18" ht="15.75" outlineLevel="3">
      <c r="A118" s="10" t="s">
        <v>169</v>
      </c>
      <c r="B118" s="10" t="s">
        <v>40</v>
      </c>
      <c r="C118" s="10" t="s">
        <v>7</v>
      </c>
      <c r="D118" s="10" t="s">
        <v>49</v>
      </c>
      <c r="E118" s="10" t="s">
        <v>47</v>
      </c>
      <c r="F118" s="11">
        <f>12519634.35</f>
        <v>12519634.35</v>
      </c>
      <c r="G118" s="11">
        <v>243603165</v>
      </c>
      <c r="H118" s="11">
        <v>243603165</v>
      </c>
      <c r="I118" s="11">
        <v>12370292.13</v>
      </c>
      <c r="J118" s="16">
        <f t="shared" si="12"/>
        <v>5.078050660794986</v>
      </c>
      <c r="K118" s="16">
        <f t="shared" si="7"/>
        <v>98.80713592885402</v>
      </c>
      <c r="L118" s="2"/>
      <c r="M118" s="2"/>
      <c r="N118" s="2"/>
      <c r="O118" s="2"/>
      <c r="P118" s="2"/>
      <c r="Q118" s="2"/>
      <c r="R118" s="2"/>
    </row>
    <row r="119" spans="1:18" ht="31.5" outlineLevel="2">
      <c r="A119" s="18" t="s">
        <v>176</v>
      </c>
      <c r="B119" s="18" t="s">
        <v>40</v>
      </c>
      <c r="C119" s="18" t="s">
        <v>7</v>
      </c>
      <c r="D119" s="18" t="s">
        <v>50</v>
      </c>
      <c r="E119" s="18"/>
      <c r="F119" s="19">
        <f>F120</f>
        <v>0</v>
      </c>
      <c r="G119" s="19">
        <f>G120</f>
        <v>32322188</v>
      </c>
      <c r="H119" s="19">
        <v>32322188</v>
      </c>
      <c r="I119" s="19">
        <v>0</v>
      </c>
      <c r="J119" s="20">
        <f t="shared" si="12"/>
        <v>0</v>
      </c>
      <c r="K119" s="16"/>
      <c r="L119" s="2"/>
      <c r="M119" s="2"/>
      <c r="N119" s="2"/>
      <c r="O119" s="2"/>
      <c r="P119" s="2"/>
      <c r="Q119" s="2"/>
      <c r="R119" s="2"/>
    </row>
    <row r="120" spans="1:18" ht="15.75" outlineLevel="3">
      <c r="A120" s="10" t="s">
        <v>169</v>
      </c>
      <c r="B120" s="10" t="s">
        <v>40</v>
      </c>
      <c r="C120" s="10" t="s">
        <v>7</v>
      </c>
      <c r="D120" s="10" t="s">
        <v>50</v>
      </c>
      <c r="E120" s="10" t="s">
        <v>47</v>
      </c>
      <c r="F120" s="11">
        <v>0</v>
      </c>
      <c r="G120" s="11">
        <v>32322188</v>
      </c>
      <c r="H120" s="11">
        <v>32322188</v>
      </c>
      <c r="I120" s="11">
        <v>0</v>
      </c>
      <c r="J120" s="16">
        <f t="shared" si="12"/>
        <v>0</v>
      </c>
      <c r="K120" s="16"/>
      <c r="L120" s="2"/>
      <c r="M120" s="2"/>
      <c r="N120" s="2"/>
      <c r="O120" s="2"/>
      <c r="P120" s="2"/>
      <c r="Q120" s="2"/>
      <c r="R120" s="2"/>
    </row>
    <row r="121" spans="1:18" ht="47.25">
      <c r="A121" s="18" t="s">
        <v>51</v>
      </c>
      <c r="B121" s="18" t="s">
        <v>41</v>
      </c>
      <c r="C121" s="18"/>
      <c r="D121" s="18"/>
      <c r="E121" s="18"/>
      <c r="F121" s="19">
        <f>F122+F125+F129+F132+F135+F139+F146+F156</f>
        <v>493533944.91999996</v>
      </c>
      <c r="G121" s="19">
        <f>G122+G125+G129+G132+G135+G139+G146+G150+G153+G156+G163+G166+G171</f>
        <v>1624383510</v>
      </c>
      <c r="H121" s="19">
        <v>7027072910</v>
      </c>
      <c r="I121" s="19">
        <v>650686617.36</v>
      </c>
      <c r="J121" s="20">
        <f aca="true" t="shared" si="13" ref="J121:J128">I121/H121*100</f>
        <v>9.259710631919429</v>
      </c>
      <c r="K121" s="20">
        <f t="shared" si="7"/>
        <v>131.8423229156961</v>
      </c>
      <c r="L121" s="2"/>
      <c r="M121" s="2"/>
      <c r="N121" s="2"/>
      <c r="O121" s="2"/>
      <c r="P121" s="2"/>
      <c r="Q121" s="2"/>
      <c r="R121" s="2"/>
    </row>
    <row r="122" spans="1:18" ht="47.25" outlineLevel="1">
      <c r="A122" s="18" t="s">
        <v>177</v>
      </c>
      <c r="B122" s="18" t="s">
        <v>41</v>
      </c>
      <c r="C122" s="18" t="s">
        <v>24</v>
      </c>
      <c r="D122" s="18"/>
      <c r="E122" s="18"/>
      <c r="F122" s="19">
        <f>F123</f>
        <v>225853447.07</v>
      </c>
      <c r="G122" s="19">
        <f>G123</f>
        <v>369534674.21</v>
      </c>
      <c r="H122" s="19">
        <v>1006604874.21</v>
      </c>
      <c r="I122" s="19">
        <v>185482834.14</v>
      </c>
      <c r="J122" s="20">
        <f t="shared" si="13"/>
        <v>18.42657818298068</v>
      </c>
      <c r="K122" s="20">
        <f t="shared" si="7"/>
        <v>82.1253058327298</v>
      </c>
      <c r="L122" s="2"/>
      <c r="M122" s="2"/>
      <c r="N122" s="2"/>
      <c r="O122" s="2"/>
      <c r="P122" s="2"/>
      <c r="Q122" s="2"/>
      <c r="R122" s="2"/>
    </row>
    <row r="123" spans="1:18" ht="63" outlineLevel="2">
      <c r="A123" s="18" t="s">
        <v>178</v>
      </c>
      <c r="B123" s="18" t="s">
        <v>41</v>
      </c>
      <c r="C123" s="18" t="s">
        <v>24</v>
      </c>
      <c r="D123" s="18" t="s">
        <v>16</v>
      </c>
      <c r="E123" s="18"/>
      <c r="F123" s="19">
        <f>F124</f>
        <v>225853447.07</v>
      </c>
      <c r="G123" s="19">
        <f>G124</f>
        <v>369534674.21</v>
      </c>
      <c r="H123" s="19">
        <v>1006604874.21</v>
      </c>
      <c r="I123" s="19">
        <v>185482834.14</v>
      </c>
      <c r="J123" s="20">
        <f t="shared" si="13"/>
        <v>18.42657818298068</v>
      </c>
      <c r="K123" s="20">
        <f t="shared" si="7"/>
        <v>82.1253058327298</v>
      </c>
      <c r="L123" s="2"/>
      <c r="M123" s="2"/>
      <c r="N123" s="2"/>
      <c r="O123" s="2"/>
      <c r="P123" s="2"/>
      <c r="Q123" s="2"/>
      <c r="R123" s="2"/>
    </row>
    <row r="124" spans="1:18" ht="15.75" outlineLevel="3">
      <c r="A124" s="10" t="s">
        <v>179</v>
      </c>
      <c r="B124" s="10" t="s">
        <v>41</v>
      </c>
      <c r="C124" s="10" t="s">
        <v>24</v>
      </c>
      <c r="D124" s="10" t="s">
        <v>16</v>
      </c>
      <c r="E124" s="10" t="s">
        <v>52</v>
      </c>
      <c r="F124" s="11">
        <f>10113151.27+8640746.94+2950642+8349034.19+66313852.67+129486020</f>
        <v>225853447.07</v>
      </c>
      <c r="G124" s="11">
        <v>369534674.21</v>
      </c>
      <c r="H124" s="11">
        <v>1006604874.21</v>
      </c>
      <c r="I124" s="11">
        <v>185482834.14</v>
      </c>
      <c r="J124" s="16">
        <f t="shared" si="13"/>
        <v>18.42657818298068</v>
      </c>
      <c r="K124" s="16">
        <f t="shared" si="7"/>
        <v>82.1253058327298</v>
      </c>
      <c r="L124" s="2"/>
      <c r="M124" s="2"/>
      <c r="N124" s="2"/>
      <c r="O124" s="2"/>
      <c r="P124" s="2"/>
      <c r="Q124" s="2"/>
      <c r="R124" s="2"/>
    </row>
    <row r="125" spans="1:18" ht="47.25" outlineLevel="1">
      <c r="A125" s="18" t="s">
        <v>180</v>
      </c>
      <c r="B125" s="18" t="s">
        <v>41</v>
      </c>
      <c r="C125" s="18" t="s">
        <v>54</v>
      </c>
      <c r="D125" s="18"/>
      <c r="E125" s="18"/>
      <c r="F125" s="19">
        <f>F126</f>
        <v>123635843.57</v>
      </c>
      <c r="G125" s="19">
        <f>G126</f>
        <v>63066000</v>
      </c>
      <c r="H125" s="19">
        <v>630685200</v>
      </c>
      <c r="I125" s="19">
        <v>237113898.75</v>
      </c>
      <c r="J125" s="20">
        <f t="shared" si="13"/>
        <v>37.59623640288372</v>
      </c>
      <c r="K125" s="20">
        <f t="shared" si="7"/>
        <v>191.78410718389375</v>
      </c>
      <c r="L125" s="2"/>
      <c r="M125" s="2"/>
      <c r="N125" s="2"/>
      <c r="O125" s="2"/>
      <c r="P125" s="2"/>
      <c r="Q125" s="2"/>
      <c r="R125" s="2"/>
    </row>
    <row r="126" spans="1:18" ht="47.25" outlineLevel="2">
      <c r="A126" s="18" t="s">
        <v>181</v>
      </c>
      <c r="B126" s="18" t="s">
        <v>41</v>
      </c>
      <c r="C126" s="18" t="s">
        <v>54</v>
      </c>
      <c r="D126" s="18" t="s">
        <v>9</v>
      </c>
      <c r="E126" s="18"/>
      <c r="F126" s="19">
        <f>F128</f>
        <v>123635843.57</v>
      </c>
      <c r="G126" s="19">
        <f>G127+G128</f>
        <v>63066000</v>
      </c>
      <c r="H126" s="19">
        <v>630685200</v>
      </c>
      <c r="I126" s="19">
        <v>237113898.75</v>
      </c>
      <c r="J126" s="20">
        <f t="shared" si="13"/>
        <v>37.59623640288372</v>
      </c>
      <c r="K126" s="20">
        <f t="shared" si="7"/>
        <v>191.78410718389375</v>
      </c>
      <c r="L126" s="2"/>
      <c r="M126" s="2"/>
      <c r="N126" s="2"/>
      <c r="O126" s="2"/>
      <c r="P126" s="2"/>
      <c r="Q126" s="2"/>
      <c r="R126" s="2"/>
    </row>
    <row r="127" spans="1:18" ht="15.75" outlineLevel="3">
      <c r="A127" s="10" t="s">
        <v>182</v>
      </c>
      <c r="B127" s="10" t="s">
        <v>41</v>
      </c>
      <c r="C127" s="10" t="s">
        <v>54</v>
      </c>
      <c r="D127" s="10" t="s">
        <v>9</v>
      </c>
      <c r="E127" s="10" t="s">
        <v>55</v>
      </c>
      <c r="F127" s="11">
        <v>0</v>
      </c>
      <c r="G127" s="11">
        <v>1200000</v>
      </c>
      <c r="H127" s="11">
        <v>1200000</v>
      </c>
      <c r="I127" s="11">
        <v>0</v>
      </c>
      <c r="J127" s="16">
        <f t="shared" si="13"/>
        <v>0</v>
      </c>
      <c r="K127" s="16"/>
      <c r="L127" s="2"/>
      <c r="M127" s="2"/>
      <c r="N127" s="2"/>
      <c r="O127" s="2"/>
      <c r="P127" s="2"/>
      <c r="Q127" s="2"/>
      <c r="R127" s="2"/>
    </row>
    <row r="128" spans="1:18" ht="15.75" outlineLevel="3">
      <c r="A128" s="10" t="s">
        <v>179</v>
      </c>
      <c r="B128" s="10" t="s">
        <v>41</v>
      </c>
      <c r="C128" s="10" t="s">
        <v>54</v>
      </c>
      <c r="D128" s="10" t="s">
        <v>9</v>
      </c>
      <c r="E128" s="10" t="s">
        <v>52</v>
      </c>
      <c r="F128" s="11">
        <f>9139734.27+5799368.94+35660207.05+73036533.31</f>
        <v>123635843.57</v>
      </c>
      <c r="G128" s="11">
        <v>61866000</v>
      </c>
      <c r="H128" s="11">
        <v>629485200</v>
      </c>
      <c r="I128" s="11">
        <v>237113898.75</v>
      </c>
      <c r="J128" s="16">
        <f t="shared" si="13"/>
        <v>37.66790684673762</v>
      </c>
      <c r="K128" s="16">
        <f t="shared" si="7"/>
        <v>191.78410718389375</v>
      </c>
      <c r="L128" s="2"/>
      <c r="M128" s="2"/>
      <c r="N128" s="2"/>
      <c r="O128" s="2"/>
      <c r="P128" s="2"/>
      <c r="Q128" s="2"/>
      <c r="R128" s="2"/>
    </row>
    <row r="129" spans="1:18" ht="31.5" outlineLevel="1">
      <c r="A129" s="18" t="s">
        <v>183</v>
      </c>
      <c r="B129" s="18" t="s">
        <v>41</v>
      </c>
      <c r="C129" s="18" t="s">
        <v>56</v>
      </c>
      <c r="D129" s="18"/>
      <c r="E129" s="18"/>
      <c r="F129" s="19">
        <f>F130</f>
        <v>68542593.13</v>
      </c>
      <c r="G129" s="19">
        <f>G130</f>
        <v>223215000</v>
      </c>
      <c r="H129" s="19">
        <v>4252036300</v>
      </c>
      <c r="I129" s="19">
        <v>61215000</v>
      </c>
      <c r="J129" s="20">
        <f aca="true" t="shared" si="14" ref="J129:J137">I129/H129*100</f>
        <v>1.439663156215294</v>
      </c>
      <c r="K129" s="20">
        <f t="shared" si="7"/>
        <v>89.30943112102243</v>
      </c>
      <c r="L129" s="2"/>
      <c r="M129" s="2"/>
      <c r="N129" s="2"/>
      <c r="O129" s="2"/>
      <c r="P129" s="2"/>
      <c r="Q129" s="2"/>
      <c r="R129" s="2"/>
    </row>
    <row r="130" spans="1:18" ht="48" customHeight="1" outlineLevel="2">
      <c r="A130" s="18" t="s">
        <v>184</v>
      </c>
      <c r="B130" s="18" t="s">
        <v>41</v>
      </c>
      <c r="C130" s="18" t="s">
        <v>56</v>
      </c>
      <c r="D130" s="18" t="s">
        <v>13</v>
      </c>
      <c r="E130" s="18"/>
      <c r="F130" s="19">
        <f>F131</f>
        <v>68542593.13</v>
      </c>
      <c r="G130" s="19">
        <f>G131</f>
        <v>223215000</v>
      </c>
      <c r="H130" s="19">
        <v>4252036300</v>
      </c>
      <c r="I130" s="19">
        <v>61215000</v>
      </c>
      <c r="J130" s="20">
        <f t="shared" si="14"/>
        <v>1.439663156215294</v>
      </c>
      <c r="K130" s="20">
        <f t="shared" si="7"/>
        <v>89.30943112102243</v>
      </c>
      <c r="L130" s="2"/>
      <c r="M130" s="2"/>
      <c r="N130" s="2"/>
      <c r="O130" s="2"/>
      <c r="P130" s="2"/>
      <c r="Q130" s="2"/>
      <c r="R130" s="2"/>
    </row>
    <row r="131" spans="1:18" ht="15.75" outlineLevel="3">
      <c r="A131" s="10" t="s">
        <v>179</v>
      </c>
      <c r="B131" s="10" t="s">
        <v>41</v>
      </c>
      <c r="C131" s="10" t="s">
        <v>56</v>
      </c>
      <c r="D131" s="10" t="s">
        <v>13</v>
      </c>
      <c r="E131" s="10" t="s">
        <v>52</v>
      </c>
      <c r="F131" s="11">
        <f>68542593.13</f>
        <v>68542593.13</v>
      </c>
      <c r="G131" s="11">
        <v>223215000</v>
      </c>
      <c r="H131" s="11">
        <v>4252036300</v>
      </c>
      <c r="I131" s="11">
        <v>61215000</v>
      </c>
      <c r="J131" s="16">
        <f t="shared" si="14"/>
        <v>1.439663156215294</v>
      </c>
      <c r="K131" s="16">
        <f t="shared" si="7"/>
        <v>89.30943112102243</v>
      </c>
      <c r="L131" s="2"/>
      <c r="M131" s="2"/>
      <c r="N131" s="2"/>
      <c r="O131" s="2"/>
      <c r="P131" s="2"/>
      <c r="Q131" s="2"/>
      <c r="R131" s="2"/>
    </row>
    <row r="132" spans="1:18" ht="31.5" outlineLevel="1">
      <c r="A132" s="18" t="s">
        <v>185</v>
      </c>
      <c r="B132" s="18" t="s">
        <v>41</v>
      </c>
      <c r="C132" s="18" t="s">
        <v>57</v>
      </c>
      <c r="D132" s="18"/>
      <c r="E132" s="18"/>
      <c r="F132" s="19">
        <f>F133</f>
        <v>182656.04</v>
      </c>
      <c r="G132" s="19">
        <f>G133</f>
        <v>10150000</v>
      </c>
      <c r="H132" s="19">
        <v>62989000</v>
      </c>
      <c r="I132" s="19">
        <v>268393.85</v>
      </c>
      <c r="J132" s="20">
        <f t="shared" si="14"/>
        <v>0.4260963819079522</v>
      </c>
      <c r="K132" s="20">
        <f t="shared" si="7"/>
        <v>146.93948801255078</v>
      </c>
      <c r="L132" s="2"/>
      <c r="M132" s="2"/>
      <c r="N132" s="2"/>
      <c r="O132" s="2"/>
      <c r="P132" s="2"/>
      <c r="Q132" s="2"/>
      <c r="R132" s="2"/>
    </row>
    <row r="133" spans="1:18" ht="78.75" outlineLevel="2">
      <c r="A133" s="18" t="s">
        <v>186</v>
      </c>
      <c r="B133" s="18" t="s">
        <v>41</v>
      </c>
      <c r="C133" s="18" t="s">
        <v>57</v>
      </c>
      <c r="D133" s="18" t="s">
        <v>29</v>
      </c>
      <c r="E133" s="18"/>
      <c r="F133" s="19">
        <f>F134</f>
        <v>182656.04</v>
      </c>
      <c r="G133" s="19">
        <f>G134</f>
        <v>10150000</v>
      </c>
      <c r="H133" s="19">
        <v>62989000</v>
      </c>
      <c r="I133" s="19">
        <v>268393.85</v>
      </c>
      <c r="J133" s="20">
        <f t="shared" si="14"/>
        <v>0.4260963819079522</v>
      </c>
      <c r="K133" s="20">
        <f t="shared" si="7"/>
        <v>146.93948801255078</v>
      </c>
      <c r="L133" s="2"/>
      <c r="M133" s="2"/>
      <c r="N133" s="2"/>
      <c r="O133" s="2"/>
      <c r="P133" s="2"/>
      <c r="Q133" s="2"/>
      <c r="R133" s="2"/>
    </row>
    <row r="134" spans="1:18" ht="15.75" outlineLevel="3">
      <c r="A134" s="10" t="s">
        <v>179</v>
      </c>
      <c r="B134" s="10" t="s">
        <v>41</v>
      </c>
      <c r="C134" s="10" t="s">
        <v>57</v>
      </c>
      <c r="D134" s="10" t="s">
        <v>29</v>
      </c>
      <c r="E134" s="10" t="s">
        <v>52</v>
      </c>
      <c r="F134" s="11">
        <f>182656.04</f>
        <v>182656.04</v>
      </c>
      <c r="G134" s="11">
        <v>10150000</v>
      </c>
      <c r="H134" s="11">
        <v>62989000</v>
      </c>
      <c r="I134" s="11">
        <v>268393.85</v>
      </c>
      <c r="J134" s="16">
        <f t="shared" si="14"/>
        <v>0.4260963819079522</v>
      </c>
      <c r="K134" s="16">
        <f t="shared" si="7"/>
        <v>146.93948801255078</v>
      </c>
      <c r="L134" s="2"/>
      <c r="M134" s="2"/>
      <c r="N134" s="2"/>
      <c r="O134" s="2"/>
      <c r="P134" s="2"/>
      <c r="Q134" s="2"/>
      <c r="R134" s="2"/>
    </row>
    <row r="135" spans="1:18" ht="31.5" outlineLevel="1">
      <c r="A135" s="18" t="s">
        <v>187</v>
      </c>
      <c r="B135" s="18" t="s">
        <v>41</v>
      </c>
      <c r="C135" s="18" t="s">
        <v>58</v>
      </c>
      <c r="D135" s="18"/>
      <c r="E135" s="18"/>
      <c r="F135" s="19">
        <f>F136</f>
        <v>26093147.560000002</v>
      </c>
      <c r="G135" s="19">
        <f>G136</f>
        <v>160533052</v>
      </c>
      <c r="H135" s="19">
        <v>160533052</v>
      </c>
      <c r="I135" s="19">
        <v>38772414.19</v>
      </c>
      <c r="J135" s="20">
        <f t="shared" si="14"/>
        <v>24.152293690896748</v>
      </c>
      <c r="K135" s="20">
        <f aca="true" t="shared" si="15" ref="K135:K198">I135/F135*100</f>
        <v>148.59232333257074</v>
      </c>
      <c r="L135" s="2"/>
      <c r="M135" s="2"/>
      <c r="N135" s="2"/>
      <c r="O135" s="2"/>
      <c r="P135" s="2"/>
      <c r="Q135" s="2"/>
      <c r="R135" s="2"/>
    </row>
    <row r="136" spans="1:18" ht="126" outlineLevel="2">
      <c r="A136" s="18" t="s">
        <v>188</v>
      </c>
      <c r="B136" s="18" t="s">
        <v>41</v>
      </c>
      <c r="C136" s="18" t="s">
        <v>58</v>
      </c>
      <c r="D136" s="18" t="s">
        <v>30</v>
      </c>
      <c r="E136" s="18"/>
      <c r="F136" s="19">
        <f>F137+F138</f>
        <v>26093147.560000002</v>
      </c>
      <c r="G136" s="19">
        <f>G137+G138</f>
        <v>160533052</v>
      </c>
      <c r="H136" s="19">
        <v>160533052</v>
      </c>
      <c r="I136" s="19">
        <v>38772414.19</v>
      </c>
      <c r="J136" s="20">
        <f t="shared" si="14"/>
        <v>24.152293690896748</v>
      </c>
      <c r="K136" s="20">
        <f t="shared" si="15"/>
        <v>148.59232333257074</v>
      </c>
      <c r="L136" s="2"/>
      <c r="M136" s="2"/>
      <c r="N136" s="2"/>
      <c r="O136" s="2"/>
      <c r="P136" s="2"/>
      <c r="Q136" s="2"/>
      <c r="R136" s="2"/>
    </row>
    <row r="137" spans="1:18" ht="15.75" outlineLevel="3">
      <c r="A137" s="10" t="s">
        <v>179</v>
      </c>
      <c r="B137" s="10" t="s">
        <v>41</v>
      </c>
      <c r="C137" s="10" t="s">
        <v>58</v>
      </c>
      <c r="D137" s="10" t="s">
        <v>30</v>
      </c>
      <c r="E137" s="10" t="s">
        <v>52</v>
      </c>
      <c r="F137" s="11">
        <f>11653690.52+11328466.87</f>
        <v>22982157.39</v>
      </c>
      <c r="G137" s="11">
        <v>147333563</v>
      </c>
      <c r="H137" s="11">
        <v>147333563</v>
      </c>
      <c r="I137" s="11">
        <v>35162258.05</v>
      </c>
      <c r="J137" s="16">
        <f t="shared" si="14"/>
        <v>23.865748804296544</v>
      </c>
      <c r="K137" s="16">
        <f t="shared" si="15"/>
        <v>152.99807347633867</v>
      </c>
      <c r="L137" s="2"/>
      <c r="M137" s="2"/>
      <c r="N137" s="2"/>
      <c r="O137" s="2"/>
      <c r="P137" s="2"/>
      <c r="Q137" s="2"/>
      <c r="R137" s="2"/>
    </row>
    <row r="138" spans="1:18" ht="48" customHeight="1" outlineLevel="3">
      <c r="A138" s="10" t="s">
        <v>189</v>
      </c>
      <c r="B138" s="10" t="s">
        <v>41</v>
      </c>
      <c r="C138" s="10" t="s">
        <v>58</v>
      </c>
      <c r="D138" s="10" t="s">
        <v>30</v>
      </c>
      <c r="E138" s="10" t="s">
        <v>59</v>
      </c>
      <c r="F138" s="11">
        <v>3110990.17</v>
      </c>
      <c r="G138" s="11">
        <v>13199489</v>
      </c>
      <c r="H138" s="11">
        <v>13199489</v>
      </c>
      <c r="I138" s="11">
        <v>3610156.14</v>
      </c>
      <c r="J138" s="16">
        <f aca="true" t="shared" si="16" ref="J138:J148">I138/H138*100</f>
        <v>27.350726531913473</v>
      </c>
      <c r="K138" s="16">
        <f t="shared" si="15"/>
        <v>116.04524420596289</v>
      </c>
      <c r="L138" s="2"/>
      <c r="M138" s="2"/>
      <c r="N138" s="2"/>
      <c r="O138" s="2"/>
      <c r="P138" s="2"/>
      <c r="Q138" s="2"/>
      <c r="R138" s="2"/>
    </row>
    <row r="139" spans="1:18" ht="32.25" customHeight="1" outlineLevel="1">
      <c r="A139" s="18" t="s">
        <v>190</v>
      </c>
      <c r="B139" s="18" t="s">
        <v>41</v>
      </c>
      <c r="C139" s="18" t="s">
        <v>60</v>
      </c>
      <c r="D139" s="18"/>
      <c r="E139" s="18"/>
      <c r="F139" s="19">
        <f>F144</f>
        <v>3383563.52</v>
      </c>
      <c r="G139" s="19">
        <f>G140+G142+G144</f>
        <v>136789500</v>
      </c>
      <c r="H139" s="19">
        <v>136789500</v>
      </c>
      <c r="I139" s="19">
        <v>7729922.74</v>
      </c>
      <c r="J139" s="20">
        <f t="shared" si="16"/>
        <v>5.65096205483608</v>
      </c>
      <c r="K139" s="20">
        <f t="shared" si="15"/>
        <v>228.45507980887558</v>
      </c>
      <c r="L139" s="2"/>
      <c r="M139" s="2"/>
      <c r="N139" s="2"/>
      <c r="O139" s="2"/>
      <c r="P139" s="2"/>
      <c r="Q139" s="2"/>
      <c r="R139" s="2"/>
    </row>
    <row r="140" spans="1:18" ht="63" outlineLevel="2">
      <c r="A140" s="18" t="s">
        <v>191</v>
      </c>
      <c r="B140" s="18" t="s">
        <v>41</v>
      </c>
      <c r="C140" s="18" t="s">
        <v>60</v>
      </c>
      <c r="D140" s="18" t="s">
        <v>61</v>
      </c>
      <c r="E140" s="18"/>
      <c r="F140" s="19">
        <f>F141</f>
        <v>0</v>
      </c>
      <c r="G140" s="19">
        <f>G141</f>
        <v>8000000</v>
      </c>
      <c r="H140" s="19">
        <v>8000000</v>
      </c>
      <c r="I140" s="19">
        <v>0</v>
      </c>
      <c r="J140" s="20">
        <f t="shared" si="16"/>
        <v>0</v>
      </c>
      <c r="K140" s="16"/>
      <c r="L140" s="2"/>
      <c r="M140" s="2"/>
      <c r="N140" s="2"/>
      <c r="O140" s="2"/>
      <c r="P140" s="2"/>
      <c r="Q140" s="2"/>
      <c r="R140" s="2"/>
    </row>
    <row r="141" spans="1:18" ht="15.75" outlineLevel="3">
      <c r="A141" s="10" t="s">
        <v>179</v>
      </c>
      <c r="B141" s="10" t="s">
        <v>41</v>
      </c>
      <c r="C141" s="10" t="s">
        <v>60</v>
      </c>
      <c r="D141" s="10" t="s">
        <v>61</v>
      </c>
      <c r="E141" s="10" t="s">
        <v>52</v>
      </c>
      <c r="F141" s="11">
        <v>0</v>
      </c>
      <c r="G141" s="11">
        <v>8000000</v>
      </c>
      <c r="H141" s="11">
        <v>8000000</v>
      </c>
      <c r="I141" s="11">
        <v>0</v>
      </c>
      <c r="J141" s="16">
        <f t="shared" si="16"/>
        <v>0</v>
      </c>
      <c r="K141" s="16"/>
      <c r="L141" s="2"/>
      <c r="M141" s="2"/>
      <c r="N141" s="2"/>
      <c r="O141" s="2"/>
      <c r="P141" s="2"/>
      <c r="Q141" s="2"/>
      <c r="R141" s="2"/>
    </row>
    <row r="142" spans="1:18" ht="33" customHeight="1" outlineLevel="2">
      <c r="A142" s="18" t="s">
        <v>192</v>
      </c>
      <c r="B142" s="18" t="s">
        <v>41</v>
      </c>
      <c r="C142" s="18" t="s">
        <v>60</v>
      </c>
      <c r="D142" s="18" t="s">
        <v>62</v>
      </c>
      <c r="E142" s="18"/>
      <c r="F142" s="19">
        <f>F143</f>
        <v>0</v>
      </c>
      <c r="G142" s="19">
        <f>G143</f>
        <v>103000000</v>
      </c>
      <c r="H142" s="19">
        <v>103000000</v>
      </c>
      <c r="I142" s="19">
        <v>0</v>
      </c>
      <c r="J142" s="20">
        <f t="shared" si="16"/>
        <v>0</v>
      </c>
      <c r="K142" s="16"/>
      <c r="L142" s="2"/>
      <c r="M142" s="2"/>
      <c r="N142" s="2"/>
      <c r="O142" s="2"/>
      <c r="P142" s="2"/>
      <c r="Q142" s="2"/>
      <c r="R142" s="2"/>
    </row>
    <row r="143" spans="1:18" ht="15.75" outlineLevel="3">
      <c r="A143" s="10" t="s">
        <v>179</v>
      </c>
      <c r="B143" s="10" t="s">
        <v>41</v>
      </c>
      <c r="C143" s="10" t="s">
        <v>60</v>
      </c>
      <c r="D143" s="10" t="s">
        <v>62</v>
      </c>
      <c r="E143" s="10" t="s">
        <v>52</v>
      </c>
      <c r="F143" s="11">
        <v>0</v>
      </c>
      <c r="G143" s="11">
        <v>103000000</v>
      </c>
      <c r="H143" s="11">
        <v>103000000</v>
      </c>
      <c r="I143" s="11">
        <v>0</v>
      </c>
      <c r="J143" s="16">
        <f t="shared" si="16"/>
        <v>0</v>
      </c>
      <c r="K143" s="16"/>
      <c r="L143" s="2"/>
      <c r="M143" s="2"/>
      <c r="N143" s="2"/>
      <c r="O143" s="2"/>
      <c r="P143" s="2"/>
      <c r="Q143" s="2"/>
      <c r="R143" s="2"/>
    </row>
    <row r="144" spans="1:18" ht="48" customHeight="1" outlineLevel="2">
      <c r="A144" s="18" t="s">
        <v>193</v>
      </c>
      <c r="B144" s="18" t="s">
        <v>41</v>
      </c>
      <c r="C144" s="18" t="s">
        <v>60</v>
      </c>
      <c r="D144" s="18" t="s">
        <v>63</v>
      </c>
      <c r="E144" s="18"/>
      <c r="F144" s="19">
        <f>F145</f>
        <v>3383563.52</v>
      </c>
      <c r="G144" s="19">
        <f>G145</f>
        <v>25789500</v>
      </c>
      <c r="H144" s="19">
        <v>25789500</v>
      </c>
      <c r="I144" s="19">
        <v>7729922.74</v>
      </c>
      <c r="J144" s="20">
        <f t="shared" si="16"/>
        <v>29.973139223327323</v>
      </c>
      <c r="K144" s="20">
        <f t="shared" si="15"/>
        <v>228.45507980887558</v>
      </c>
      <c r="L144" s="2"/>
      <c r="M144" s="2"/>
      <c r="N144" s="2"/>
      <c r="O144" s="2"/>
      <c r="P144" s="2"/>
      <c r="Q144" s="2"/>
      <c r="R144" s="2"/>
    </row>
    <row r="145" spans="1:18" ht="15.75" outlineLevel="3">
      <c r="A145" s="10" t="s">
        <v>179</v>
      </c>
      <c r="B145" s="10" t="s">
        <v>41</v>
      </c>
      <c r="C145" s="10" t="s">
        <v>60</v>
      </c>
      <c r="D145" s="10" t="s">
        <v>63</v>
      </c>
      <c r="E145" s="10" t="s">
        <v>52</v>
      </c>
      <c r="F145" s="11">
        <v>3383563.52</v>
      </c>
      <c r="G145" s="11">
        <v>25789500</v>
      </c>
      <c r="H145" s="11">
        <v>25789500</v>
      </c>
      <c r="I145" s="11">
        <v>7729922.74</v>
      </c>
      <c r="J145" s="16">
        <f t="shared" si="16"/>
        <v>29.973139223327323</v>
      </c>
      <c r="K145" s="16">
        <f t="shared" si="15"/>
        <v>228.45507980887558</v>
      </c>
      <c r="L145" s="2"/>
      <c r="M145" s="2"/>
      <c r="N145" s="2"/>
      <c r="O145" s="2"/>
      <c r="P145" s="2"/>
      <c r="Q145" s="2"/>
      <c r="R145" s="2"/>
    </row>
    <row r="146" spans="1:18" ht="31.5" outlineLevel="1">
      <c r="A146" s="18" t="s">
        <v>194</v>
      </c>
      <c r="B146" s="18" t="s">
        <v>41</v>
      </c>
      <c r="C146" s="18" t="s">
        <v>64</v>
      </c>
      <c r="D146" s="18"/>
      <c r="E146" s="18"/>
      <c r="F146" s="19">
        <f>F147</f>
        <v>6538511</v>
      </c>
      <c r="G146" s="19">
        <f>G147</f>
        <v>108540447</v>
      </c>
      <c r="H146" s="19">
        <v>108540447</v>
      </c>
      <c r="I146" s="19">
        <v>454488</v>
      </c>
      <c r="J146" s="20">
        <f t="shared" si="16"/>
        <v>0.4187268548838757</v>
      </c>
      <c r="K146" s="20">
        <f t="shared" si="15"/>
        <v>6.9509403593570465</v>
      </c>
      <c r="L146" s="2"/>
      <c r="M146" s="2"/>
      <c r="N146" s="2"/>
      <c r="O146" s="2"/>
      <c r="P146" s="2"/>
      <c r="Q146" s="2"/>
      <c r="R146" s="2"/>
    </row>
    <row r="147" spans="1:18" ht="127.5" customHeight="1" outlineLevel="2">
      <c r="A147" s="18" t="s">
        <v>195</v>
      </c>
      <c r="B147" s="18" t="s">
        <v>41</v>
      </c>
      <c r="C147" s="18" t="s">
        <v>64</v>
      </c>
      <c r="D147" s="18" t="s">
        <v>65</v>
      </c>
      <c r="E147" s="18"/>
      <c r="F147" s="19">
        <f>F149</f>
        <v>6538511</v>
      </c>
      <c r="G147" s="19">
        <f>G148+G149</f>
        <v>108540447</v>
      </c>
      <c r="H147" s="19">
        <v>108540447</v>
      </c>
      <c r="I147" s="19">
        <v>454488</v>
      </c>
      <c r="J147" s="20">
        <f t="shared" si="16"/>
        <v>0.4187268548838757</v>
      </c>
      <c r="K147" s="20">
        <f t="shared" si="15"/>
        <v>6.9509403593570465</v>
      </c>
      <c r="L147" s="2"/>
      <c r="M147" s="2"/>
      <c r="N147" s="2"/>
      <c r="O147" s="2"/>
      <c r="P147" s="2"/>
      <c r="Q147" s="2"/>
      <c r="R147" s="2"/>
    </row>
    <row r="148" spans="1:18" ht="15.75" outlineLevel="3">
      <c r="A148" s="10" t="s">
        <v>179</v>
      </c>
      <c r="B148" s="10" t="s">
        <v>41</v>
      </c>
      <c r="C148" s="10" t="s">
        <v>64</v>
      </c>
      <c r="D148" s="10" t="s">
        <v>65</v>
      </c>
      <c r="E148" s="10" t="s">
        <v>52</v>
      </c>
      <c r="F148" s="11">
        <v>0</v>
      </c>
      <c r="G148" s="11">
        <v>24344127</v>
      </c>
      <c r="H148" s="11">
        <v>24344127</v>
      </c>
      <c r="I148" s="11">
        <v>0</v>
      </c>
      <c r="J148" s="16">
        <f t="shared" si="16"/>
        <v>0</v>
      </c>
      <c r="K148" s="16"/>
      <c r="L148" s="2"/>
      <c r="M148" s="2"/>
      <c r="N148" s="2"/>
      <c r="O148" s="2"/>
      <c r="P148" s="2"/>
      <c r="Q148" s="2"/>
      <c r="R148" s="2"/>
    </row>
    <row r="149" spans="1:18" ht="15.75" customHeight="1" outlineLevel="3">
      <c r="A149" s="10" t="s">
        <v>129</v>
      </c>
      <c r="B149" s="10" t="s">
        <v>41</v>
      </c>
      <c r="C149" s="10" t="s">
        <v>64</v>
      </c>
      <c r="D149" s="10" t="s">
        <v>65</v>
      </c>
      <c r="E149" s="10" t="s">
        <v>21</v>
      </c>
      <c r="F149" s="11">
        <v>6538511</v>
      </c>
      <c r="G149" s="11">
        <v>84196320</v>
      </c>
      <c r="H149" s="11">
        <v>84196320</v>
      </c>
      <c r="I149" s="11">
        <v>454488</v>
      </c>
      <c r="J149" s="16">
        <f aca="true" t="shared" si="17" ref="J149:J162">I149/H149*100</f>
        <v>0.5397955635115644</v>
      </c>
      <c r="K149" s="16">
        <f t="shared" si="15"/>
        <v>6.9509403593570465</v>
      </c>
      <c r="L149" s="2"/>
      <c r="M149" s="2"/>
      <c r="N149" s="2"/>
      <c r="O149" s="2"/>
      <c r="P149" s="2"/>
      <c r="Q149" s="2"/>
      <c r="R149" s="2"/>
    </row>
    <row r="150" spans="1:18" ht="47.25" outlineLevel="1">
      <c r="A150" s="18" t="s">
        <v>196</v>
      </c>
      <c r="B150" s="18" t="s">
        <v>41</v>
      </c>
      <c r="C150" s="18" t="s">
        <v>66</v>
      </c>
      <c r="D150" s="18"/>
      <c r="E150" s="18"/>
      <c r="F150" s="19">
        <f>F151</f>
        <v>0</v>
      </c>
      <c r="G150" s="19">
        <f>G151</f>
        <v>20000000</v>
      </c>
      <c r="H150" s="19">
        <v>20000000</v>
      </c>
      <c r="I150" s="19">
        <v>6432307.47</v>
      </c>
      <c r="J150" s="20">
        <f t="shared" si="17"/>
        <v>32.161537349999996</v>
      </c>
      <c r="K150" s="16"/>
      <c r="L150" s="2"/>
      <c r="M150" s="2"/>
      <c r="N150" s="2"/>
      <c r="O150" s="2"/>
      <c r="P150" s="2"/>
      <c r="Q150" s="2"/>
      <c r="R150" s="2"/>
    </row>
    <row r="151" spans="1:18" ht="48" customHeight="1" outlineLevel="2">
      <c r="A151" s="18" t="s">
        <v>197</v>
      </c>
      <c r="B151" s="18" t="s">
        <v>41</v>
      </c>
      <c r="C151" s="18" t="s">
        <v>66</v>
      </c>
      <c r="D151" s="18" t="s">
        <v>67</v>
      </c>
      <c r="E151" s="18"/>
      <c r="F151" s="19">
        <f>F152</f>
        <v>0</v>
      </c>
      <c r="G151" s="19">
        <f>G152</f>
        <v>20000000</v>
      </c>
      <c r="H151" s="19">
        <v>20000000</v>
      </c>
      <c r="I151" s="19">
        <v>6432307.47</v>
      </c>
      <c r="J151" s="20">
        <f t="shared" si="17"/>
        <v>32.161537349999996</v>
      </c>
      <c r="K151" s="16"/>
      <c r="L151" s="2"/>
      <c r="M151" s="2"/>
      <c r="N151" s="2"/>
      <c r="O151" s="2"/>
      <c r="P151" s="2"/>
      <c r="Q151" s="2"/>
      <c r="R151" s="2"/>
    </row>
    <row r="152" spans="1:18" ht="15.75" outlineLevel="3">
      <c r="A152" s="10" t="s">
        <v>179</v>
      </c>
      <c r="B152" s="10" t="s">
        <v>41</v>
      </c>
      <c r="C152" s="10" t="s">
        <v>66</v>
      </c>
      <c r="D152" s="10" t="s">
        <v>67</v>
      </c>
      <c r="E152" s="10" t="s">
        <v>52</v>
      </c>
      <c r="F152" s="11">
        <v>0</v>
      </c>
      <c r="G152" s="11">
        <v>20000000</v>
      </c>
      <c r="H152" s="11">
        <v>20000000</v>
      </c>
      <c r="I152" s="11">
        <v>6432307.47</v>
      </c>
      <c r="J152" s="16">
        <f t="shared" si="17"/>
        <v>32.161537349999996</v>
      </c>
      <c r="K152" s="16"/>
      <c r="L152" s="2"/>
      <c r="M152" s="2"/>
      <c r="N152" s="2"/>
      <c r="O152" s="2"/>
      <c r="P152" s="2"/>
      <c r="Q152" s="2"/>
      <c r="R152" s="2"/>
    </row>
    <row r="153" spans="1:18" ht="47.25" outlineLevel="1">
      <c r="A153" s="18" t="s">
        <v>198</v>
      </c>
      <c r="B153" s="18" t="s">
        <v>41</v>
      </c>
      <c r="C153" s="18" t="s">
        <v>68</v>
      </c>
      <c r="D153" s="18"/>
      <c r="E153" s="18"/>
      <c r="F153" s="19">
        <f>F154</f>
        <v>0</v>
      </c>
      <c r="G153" s="19">
        <f>G154</f>
        <v>9240947.37</v>
      </c>
      <c r="H153" s="19">
        <v>9240947.37</v>
      </c>
      <c r="I153" s="19">
        <v>0</v>
      </c>
      <c r="J153" s="20">
        <f t="shared" si="17"/>
        <v>0</v>
      </c>
      <c r="K153" s="16"/>
      <c r="L153" s="2"/>
      <c r="M153" s="2"/>
      <c r="N153" s="2"/>
      <c r="O153" s="2"/>
      <c r="P153" s="2"/>
      <c r="Q153" s="2"/>
      <c r="R153" s="2"/>
    </row>
    <row r="154" spans="1:18" ht="63.75" customHeight="1" outlineLevel="2">
      <c r="A154" s="18" t="s">
        <v>199</v>
      </c>
      <c r="B154" s="18" t="s">
        <v>41</v>
      </c>
      <c r="C154" s="18" t="s">
        <v>68</v>
      </c>
      <c r="D154" s="18" t="s">
        <v>69</v>
      </c>
      <c r="E154" s="18"/>
      <c r="F154" s="19">
        <f>F155</f>
        <v>0</v>
      </c>
      <c r="G154" s="19">
        <f>G155</f>
        <v>9240947.37</v>
      </c>
      <c r="H154" s="19">
        <v>9240947.37</v>
      </c>
      <c r="I154" s="19">
        <v>0</v>
      </c>
      <c r="J154" s="20">
        <f t="shared" si="17"/>
        <v>0</v>
      </c>
      <c r="K154" s="16"/>
      <c r="L154" s="2"/>
      <c r="M154" s="2"/>
      <c r="N154" s="2"/>
      <c r="O154" s="2"/>
      <c r="P154" s="2"/>
      <c r="Q154" s="2"/>
      <c r="R154" s="2"/>
    </row>
    <row r="155" spans="1:18" ht="15.75" outlineLevel="3">
      <c r="A155" s="10" t="s">
        <v>179</v>
      </c>
      <c r="B155" s="10" t="s">
        <v>41</v>
      </c>
      <c r="C155" s="10" t="s">
        <v>68</v>
      </c>
      <c r="D155" s="10" t="s">
        <v>69</v>
      </c>
      <c r="E155" s="10" t="s">
        <v>52</v>
      </c>
      <c r="F155" s="11">
        <v>0</v>
      </c>
      <c r="G155" s="11">
        <v>9240947.37</v>
      </c>
      <c r="H155" s="11">
        <v>9240947.37</v>
      </c>
      <c r="I155" s="11">
        <v>0</v>
      </c>
      <c r="J155" s="16">
        <f t="shared" si="17"/>
        <v>0</v>
      </c>
      <c r="K155" s="16"/>
      <c r="L155" s="2"/>
      <c r="M155" s="2"/>
      <c r="N155" s="2"/>
      <c r="O155" s="2"/>
      <c r="P155" s="2"/>
      <c r="Q155" s="2"/>
      <c r="R155" s="2"/>
    </row>
    <row r="156" spans="1:18" ht="31.5" outlineLevel="1">
      <c r="A156" s="18" t="s">
        <v>200</v>
      </c>
      <c r="B156" s="18" t="s">
        <v>41</v>
      </c>
      <c r="C156" s="18" t="s">
        <v>70</v>
      </c>
      <c r="D156" s="18"/>
      <c r="E156" s="18"/>
      <c r="F156" s="19">
        <f>F157+F159+F161</f>
        <v>39304183.03</v>
      </c>
      <c r="G156" s="19">
        <f>G157+G159+G161</f>
        <v>177487621</v>
      </c>
      <c r="H156" s="19">
        <v>177487621</v>
      </c>
      <c r="I156" s="19">
        <v>44837252.53</v>
      </c>
      <c r="J156" s="20">
        <f t="shared" si="17"/>
        <v>25.26218576674708</v>
      </c>
      <c r="K156" s="20">
        <f t="shared" si="15"/>
        <v>114.07755885875235</v>
      </c>
      <c r="L156" s="2"/>
      <c r="M156" s="2"/>
      <c r="N156" s="2"/>
      <c r="O156" s="2"/>
      <c r="P156" s="2"/>
      <c r="Q156" s="2"/>
      <c r="R156" s="2"/>
    </row>
    <row r="157" spans="1:18" ht="80.25" customHeight="1" outlineLevel="2">
      <c r="A157" s="18" t="s">
        <v>201</v>
      </c>
      <c r="B157" s="18" t="s">
        <v>41</v>
      </c>
      <c r="C157" s="18" t="s">
        <v>70</v>
      </c>
      <c r="D157" s="18" t="s">
        <v>71</v>
      </c>
      <c r="E157" s="18"/>
      <c r="F157" s="19">
        <f>F158</f>
        <v>3497342.06</v>
      </c>
      <c r="G157" s="19">
        <f>G158</f>
        <v>21553742</v>
      </c>
      <c r="H157" s="19">
        <v>21553742</v>
      </c>
      <c r="I157" s="19">
        <v>6587466.01</v>
      </c>
      <c r="J157" s="20">
        <f t="shared" si="17"/>
        <v>30.56298071119159</v>
      </c>
      <c r="K157" s="20">
        <f t="shared" si="15"/>
        <v>188.35635453971008</v>
      </c>
      <c r="L157" s="2"/>
      <c r="M157" s="2"/>
      <c r="N157" s="2"/>
      <c r="O157" s="2"/>
      <c r="P157" s="2"/>
      <c r="Q157" s="2"/>
      <c r="R157" s="2"/>
    </row>
    <row r="158" spans="1:18" ht="15.75" outlineLevel="3">
      <c r="A158" s="10" t="s">
        <v>182</v>
      </c>
      <c r="B158" s="10" t="s">
        <v>41</v>
      </c>
      <c r="C158" s="10" t="s">
        <v>70</v>
      </c>
      <c r="D158" s="10" t="s">
        <v>71</v>
      </c>
      <c r="E158" s="10" t="s">
        <v>55</v>
      </c>
      <c r="F158" s="11">
        <v>3497342.06</v>
      </c>
      <c r="G158" s="11">
        <v>21553742</v>
      </c>
      <c r="H158" s="11">
        <v>21553742</v>
      </c>
      <c r="I158" s="11">
        <v>6587466.01</v>
      </c>
      <c r="J158" s="16">
        <f t="shared" si="17"/>
        <v>30.56298071119159</v>
      </c>
      <c r="K158" s="16">
        <f t="shared" si="15"/>
        <v>188.35635453971008</v>
      </c>
      <c r="L158" s="2"/>
      <c r="M158" s="2"/>
      <c r="N158" s="2"/>
      <c r="O158" s="2"/>
      <c r="P158" s="2"/>
      <c r="Q158" s="2"/>
      <c r="R158" s="2"/>
    </row>
    <row r="159" spans="1:18" ht="31.5" outlineLevel="2">
      <c r="A159" s="18" t="s">
        <v>202</v>
      </c>
      <c r="B159" s="18" t="s">
        <v>41</v>
      </c>
      <c r="C159" s="18" t="s">
        <v>70</v>
      </c>
      <c r="D159" s="18" t="s">
        <v>72</v>
      </c>
      <c r="E159" s="18"/>
      <c r="F159" s="19">
        <f>F160</f>
        <v>33367996.83</v>
      </c>
      <c r="G159" s="19">
        <f>G160</f>
        <v>147840337</v>
      </c>
      <c r="H159" s="19">
        <v>147840337</v>
      </c>
      <c r="I159" s="19">
        <v>36290943.52</v>
      </c>
      <c r="J159" s="20">
        <f t="shared" si="17"/>
        <v>24.547389607208487</v>
      </c>
      <c r="K159" s="20">
        <f t="shared" si="15"/>
        <v>108.75973078303605</v>
      </c>
      <c r="L159" s="2"/>
      <c r="M159" s="2"/>
      <c r="N159" s="2"/>
      <c r="O159" s="2"/>
      <c r="P159" s="2"/>
      <c r="Q159" s="2"/>
      <c r="R159" s="2"/>
    </row>
    <row r="160" spans="1:18" ht="15.75" outlineLevel="3">
      <c r="A160" s="10" t="s">
        <v>182</v>
      </c>
      <c r="B160" s="10" t="s">
        <v>41</v>
      </c>
      <c r="C160" s="10" t="s">
        <v>70</v>
      </c>
      <c r="D160" s="10" t="s">
        <v>72</v>
      </c>
      <c r="E160" s="10" t="s">
        <v>55</v>
      </c>
      <c r="F160" s="11">
        <v>33367996.83</v>
      </c>
      <c r="G160" s="11">
        <v>147840337</v>
      </c>
      <c r="H160" s="11">
        <v>147840337</v>
      </c>
      <c r="I160" s="11">
        <v>36290943.52</v>
      </c>
      <c r="J160" s="16">
        <f t="shared" si="17"/>
        <v>24.547389607208487</v>
      </c>
      <c r="K160" s="16">
        <f t="shared" si="15"/>
        <v>108.75973078303605</v>
      </c>
      <c r="L160" s="2"/>
      <c r="M160" s="2"/>
      <c r="N160" s="2"/>
      <c r="O160" s="2"/>
      <c r="P160" s="2"/>
      <c r="Q160" s="2"/>
      <c r="R160" s="2"/>
    </row>
    <row r="161" spans="1:18" ht="31.5" outlineLevel="2">
      <c r="A161" s="18" t="s">
        <v>203</v>
      </c>
      <c r="B161" s="18" t="s">
        <v>41</v>
      </c>
      <c r="C161" s="18" t="s">
        <v>70</v>
      </c>
      <c r="D161" s="18" t="s">
        <v>73</v>
      </c>
      <c r="E161" s="18"/>
      <c r="F161" s="19">
        <f>F162</f>
        <v>2438844.14</v>
      </c>
      <c r="G161" s="19">
        <f>G162</f>
        <v>8093542</v>
      </c>
      <c r="H161" s="19">
        <v>8093542</v>
      </c>
      <c r="I161" s="19">
        <v>1958843</v>
      </c>
      <c r="J161" s="20">
        <f t="shared" si="17"/>
        <v>24.20254321284797</v>
      </c>
      <c r="K161" s="20">
        <f t="shared" si="15"/>
        <v>80.31849874588542</v>
      </c>
      <c r="L161" s="2"/>
      <c r="M161" s="2"/>
      <c r="N161" s="2"/>
      <c r="O161" s="2"/>
      <c r="P161" s="2"/>
      <c r="Q161" s="2"/>
      <c r="R161" s="2"/>
    </row>
    <row r="162" spans="1:18" ht="15.75" outlineLevel="3">
      <c r="A162" s="10" t="s">
        <v>182</v>
      </c>
      <c r="B162" s="10" t="s">
        <v>41</v>
      </c>
      <c r="C162" s="10" t="s">
        <v>70</v>
      </c>
      <c r="D162" s="10" t="s">
        <v>73</v>
      </c>
      <c r="E162" s="10" t="s">
        <v>55</v>
      </c>
      <c r="F162" s="11">
        <f>2438844.14</f>
        <v>2438844.14</v>
      </c>
      <c r="G162" s="11">
        <v>8093542</v>
      </c>
      <c r="H162" s="11">
        <v>8093542</v>
      </c>
      <c r="I162" s="11">
        <v>1958843</v>
      </c>
      <c r="J162" s="16">
        <f t="shared" si="17"/>
        <v>24.20254321284797</v>
      </c>
      <c r="K162" s="16">
        <f t="shared" si="15"/>
        <v>80.31849874588542</v>
      </c>
      <c r="L162" s="2"/>
      <c r="M162" s="2"/>
      <c r="N162" s="2"/>
      <c r="O162" s="2"/>
      <c r="P162" s="2"/>
      <c r="Q162" s="2"/>
      <c r="R162" s="2"/>
    </row>
    <row r="163" spans="1:18" ht="31.5" outlineLevel="1">
      <c r="A163" s="18" t="s">
        <v>204</v>
      </c>
      <c r="B163" s="18" t="s">
        <v>41</v>
      </c>
      <c r="C163" s="18" t="s">
        <v>74</v>
      </c>
      <c r="D163" s="18"/>
      <c r="E163" s="18"/>
      <c r="F163" s="19">
        <f>F164</f>
        <v>0</v>
      </c>
      <c r="G163" s="19">
        <f>G164</f>
        <v>226777368.42</v>
      </c>
      <c r="H163" s="19">
        <v>320274868.42</v>
      </c>
      <c r="I163" s="19">
        <v>68377910.69</v>
      </c>
      <c r="J163" s="20">
        <f aca="true" t="shared" si="18" ref="J163:J175">I163/H163*100</f>
        <v>21.349758420735967</v>
      </c>
      <c r="K163" s="16"/>
      <c r="L163" s="2"/>
      <c r="M163" s="2"/>
      <c r="N163" s="2"/>
      <c r="O163" s="2"/>
      <c r="P163" s="2"/>
      <c r="Q163" s="2"/>
      <c r="R163" s="2"/>
    </row>
    <row r="164" spans="1:18" ht="96" customHeight="1" outlineLevel="2">
      <c r="A164" s="18" t="s">
        <v>205</v>
      </c>
      <c r="B164" s="18" t="s">
        <v>41</v>
      </c>
      <c r="C164" s="18" t="s">
        <v>74</v>
      </c>
      <c r="D164" s="18" t="s">
        <v>75</v>
      </c>
      <c r="E164" s="18"/>
      <c r="F164" s="19">
        <f>F165</f>
        <v>0</v>
      </c>
      <c r="G164" s="19">
        <f>G165</f>
        <v>226777368.42</v>
      </c>
      <c r="H164" s="19">
        <v>320274868.42</v>
      </c>
      <c r="I164" s="19">
        <v>68377910.69</v>
      </c>
      <c r="J164" s="20">
        <f t="shared" si="18"/>
        <v>21.349758420735967</v>
      </c>
      <c r="K164" s="16"/>
      <c r="L164" s="2"/>
      <c r="M164" s="2"/>
      <c r="N164" s="2"/>
      <c r="O164" s="2"/>
      <c r="P164" s="2"/>
      <c r="Q164" s="2"/>
      <c r="R164" s="2"/>
    </row>
    <row r="165" spans="1:18" ht="15.75" outlineLevel="3">
      <c r="A165" s="10" t="s">
        <v>179</v>
      </c>
      <c r="B165" s="10" t="s">
        <v>41</v>
      </c>
      <c r="C165" s="10" t="s">
        <v>74</v>
      </c>
      <c r="D165" s="10" t="s">
        <v>75</v>
      </c>
      <c r="E165" s="10" t="s">
        <v>52</v>
      </c>
      <c r="F165" s="11">
        <v>0</v>
      </c>
      <c r="G165" s="11">
        <v>226777368.42</v>
      </c>
      <c r="H165" s="11">
        <v>320274868.42</v>
      </c>
      <c r="I165" s="11">
        <v>68377910.69</v>
      </c>
      <c r="J165" s="16">
        <f t="shared" si="18"/>
        <v>21.349758420735967</v>
      </c>
      <c r="K165" s="16"/>
      <c r="L165" s="2"/>
      <c r="M165" s="2"/>
      <c r="N165" s="2"/>
      <c r="O165" s="2"/>
      <c r="P165" s="2"/>
      <c r="Q165" s="2"/>
      <c r="R165" s="2"/>
    </row>
    <row r="166" spans="1:18" ht="31.5" outlineLevel="1">
      <c r="A166" s="18" t="s">
        <v>206</v>
      </c>
      <c r="B166" s="18" t="s">
        <v>41</v>
      </c>
      <c r="C166" s="18" t="s">
        <v>76</v>
      </c>
      <c r="D166" s="18"/>
      <c r="E166" s="18"/>
      <c r="F166" s="19">
        <f>F167+F169</f>
        <v>0</v>
      </c>
      <c r="G166" s="19">
        <f>G167+G169</f>
        <v>100048900</v>
      </c>
      <c r="H166" s="19">
        <v>100048900</v>
      </c>
      <c r="I166" s="19">
        <v>2195</v>
      </c>
      <c r="J166" s="20">
        <f t="shared" si="18"/>
        <v>0.0021939271696140585</v>
      </c>
      <c r="K166" s="16"/>
      <c r="L166" s="2"/>
      <c r="M166" s="2"/>
      <c r="N166" s="2"/>
      <c r="O166" s="2"/>
      <c r="P166" s="2"/>
      <c r="Q166" s="2"/>
      <c r="R166" s="2"/>
    </row>
    <row r="167" spans="1:18" ht="33" customHeight="1" outlineLevel="2">
      <c r="A167" s="18" t="s">
        <v>207</v>
      </c>
      <c r="B167" s="18" t="s">
        <v>41</v>
      </c>
      <c r="C167" s="18" t="s">
        <v>76</v>
      </c>
      <c r="D167" s="18" t="s">
        <v>77</v>
      </c>
      <c r="E167" s="18"/>
      <c r="F167" s="19">
        <f>F168</f>
        <v>0</v>
      </c>
      <c r="G167" s="19">
        <f>G168</f>
        <v>26013300</v>
      </c>
      <c r="H167" s="19">
        <v>26013300</v>
      </c>
      <c r="I167" s="19">
        <v>2195</v>
      </c>
      <c r="J167" s="20">
        <f t="shared" si="18"/>
        <v>0.008437991335201608</v>
      </c>
      <c r="K167" s="16"/>
      <c r="L167" s="2"/>
      <c r="M167" s="2"/>
      <c r="N167" s="2"/>
      <c r="O167" s="2"/>
      <c r="P167" s="2"/>
      <c r="Q167" s="2"/>
      <c r="R167" s="2"/>
    </row>
    <row r="168" spans="1:18" ht="15.75" outlineLevel="3">
      <c r="A168" s="10" t="s">
        <v>179</v>
      </c>
      <c r="B168" s="10" t="s">
        <v>41</v>
      </c>
      <c r="C168" s="10" t="s">
        <v>76</v>
      </c>
      <c r="D168" s="10" t="s">
        <v>77</v>
      </c>
      <c r="E168" s="10" t="s">
        <v>52</v>
      </c>
      <c r="F168" s="11">
        <v>0</v>
      </c>
      <c r="G168" s="11">
        <v>26013300</v>
      </c>
      <c r="H168" s="11">
        <v>26013300</v>
      </c>
      <c r="I168" s="11">
        <v>2195</v>
      </c>
      <c r="J168" s="16">
        <f t="shared" si="18"/>
        <v>0.008437991335201608</v>
      </c>
      <c r="K168" s="16"/>
      <c r="L168" s="2"/>
      <c r="M168" s="2"/>
      <c r="N168" s="2"/>
      <c r="O168" s="2"/>
      <c r="P168" s="2"/>
      <c r="Q168" s="2"/>
      <c r="R168" s="2"/>
    </row>
    <row r="169" spans="1:18" ht="15.75" outlineLevel="2">
      <c r="A169" s="18" t="s">
        <v>208</v>
      </c>
      <c r="B169" s="18" t="s">
        <v>41</v>
      </c>
      <c r="C169" s="18" t="s">
        <v>76</v>
      </c>
      <c r="D169" s="18" t="s">
        <v>78</v>
      </c>
      <c r="E169" s="18"/>
      <c r="F169" s="19">
        <f>F170</f>
        <v>0</v>
      </c>
      <c r="G169" s="19">
        <f>G170</f>
        <v>74035600</v>
      </c>
      <c r="H169" s="19">
        <v>74035600</v>
      </c>
      <c r="I169" s="19">
        <v>0</v>
      </c>
      <c r="J169" s="20">
        <f t="shared" si="18"/>
        <v>0</v>
      </c>
      <c r="K169" s="16"/>
      <c r="L169" s="2"/>
      <c r="M169" s="2"/>
      <c r="N169" s="2"/>
      <c r="O169" s="2"/>
      <c r="P169" s="2"/>
      <c r="Q169" s="2"/>
      <c r="R169" s="2"/>
    </row>
    <row r="170" spans="1:18" ht="15.75" outlineLevel="3">
      <c r="A170" s="10" t="s">
        <v>179</v>
      </c>
      <c r="B170" s="10" t="s">
        <v>41</v>
      </c>
      <c r="C170" s="10" t="s">
        <v>76</v>
      </c>
      <c r="D170" s="10" t="s">
        <v>78</v>
      </c>
      <c r="E170" s="10" t="s">
        <v>52</v>
      </c>
      <c r="F170" s="11">
        <v>0</v>
      </c>
      <c r="G170" s="11">
        <v>74035600</v>
      </c>
      <c r="H170" s="11">
        <v>74035600</v>
      </c>
      <c r="I170" s="11">
        <v>0</v>
      </c>
      <c r="J170" s="16">
        <f t="shared" si="18"/>
        <v>0</v>
      </c>
      <c r="K170" s="16"/>
      <c r="L170" s="2"/>
      <c r="M170" s="2"/>
      <c r="N170" s="2"/>
      <c r="O170" s="2"/>
      <c r="P170" s="2"/>
      <c r="Q170" s="2"/>
      <c r="R170" s="2"/>
    </row>
    <row r="171" spans="1:18" ht="31.5" outlineLevel="1">
      <c r="A171" s="18" t="s">
        <v>209</v>
      </c>
      <c r="B171" s="18" t="s">
        <v>41</v>
      </c>
      <c r="C171" s="18" t="s">
        <v>79</v>
      </c>
      <c r="D171" s="18"/>
      <c r="E171" s="18"/>
      <c r="F171" s="19">
        <f>F172</f>
        <v>0</v>
      </c>
      <c r="G171" s="19">
        <f>G172</f>
        <v>19000000</v>
      </c>
      <c r="H171" s="19">
        <v>41842200</v>
      </c>
      <c r="I171" s="19">
        <v>0</v>
      </c>
      <c r="J171" s="20">
        <f t="shared" si="18"/>
        <v>0</v>
      </c>
      <c r="K171" s="16"/>
      <c r="L171" s="2"/>
      <c r="M171" s="2"/>
      <c r="N171" s="2"/>
      <c r="O171" s="2"/>
      <c r="P171" s="2"/>
      <c r="Q171" s="2"/>
      <c r="R171" s="2"/>
    </row>
    <row r="172" spans="1:18" ht="47.25" outlineLevel="2">
      <c r="A172" s="18" t="s">
        <v>210</v>
      </c>
      <c r="B172" s="18" t="s">
        <v>41</v>
      </c>
      <c r="C172" s="18" t="s">
        <v>79</v>
      </c>
      <c r="D172" s="18" t="s">
        <v>80</v>
      </c>
      <c r="E172" s="18"/>
      <c r="F172" s="19">
        <f>F173</f>
        <v>0</v>
      </c>
      <c r="G172" s="19">
        <f>G173</f>
        <v>19000000</v>
      </c>
      <c r="H172" s="19">
        <v>41842200</v>
      </c>
      <c r="I172" s="19">
        <v>0</v>
      </c>
      <c r="J172" s="20">
        <f t="shared" si="18"/>
        <v>0</v>
      </c>
      <c r="K172" s="16"/>
      <c r="L172" s="2"/>
      <c r="M172" s="2"/>
      <c r="N172" s="2"/>
      <c r="O172" s="2"/>
      <c r="P172" s="2"/>
      <c r="Q172" s="2"/>
      <c r="R172" s="2"/>
    </row>
    <row r="173" spans="1:18" ht="15.75" outlineLevel="3">
      <c r="A173" s="10" t="s">
        <v>179</v>
      </c>
      <c r="B173" s="10" t="s">
        <v>41</v>
      </c>
      <c r="C173" s="10" t="s">
        <v>79</v>
      </c>
      <c r="D173" s="10" t="s">
        <v>80</v>
      </c>
      <c r="E173" s="10" t="s">
        <v>52</v>
      </c>
      <c r="F173" s="11">
        <v>0</v>
      </c>
      <c r="G173" s="11">
        <v>19000000</v>
      </c>
      <c r="H173" s="11">
        <v>41842200</v>
      </c>
      <c r="I173" s="11">
        <v>0</v>
      </c>
      <c r="J173" s="16">
        <f t="shared" si="18"/>
        <v>0</v>
      </c>
      <c r="K173" s="16"/>
      <c r="L173" s="2"/>
      <c r="M173" s="2"/>
      <c r="N173" s="2"/>
      <c r="O173" s="2"/>
      <c r="P173" s="2"/>
      <c r="Q173" s="2"/>
      <c r="R173" s="2"/>
    </row>
    <row r="174" spans="1:18" ht="31.5">
      <c r="A174" s="18" t="s">
        <v>81</v>
      </c>
      <c r="B174" s="18" t="s">
        <v>42</v>
      </c>
      <c r="C174" s="18"/>
      <c r="D174" s="18"/>
      <c r="E174" s="18"/>
      <c r="F174" s="19">
        <f>F175+F177+F181+F184</f>
        <v>857911664.88</v>
      </c>
      <c r="G174" s="19">
        <f>G175+G177+G181+G184</f>
        <v>2755266220.39</v>
      </c>
      <c r="H174" s="19">
        <v>2755266220.39</v>
      </c>
      <c r="I174" s="19">
        <v>705567563.04</v>
      </c>
      <c r="J174" s="20">
        <f t="shared" si="18"/>
        <v>25.607963318336946</v>
      </c>
      <c r="K174" s="20">
        <f t="shared" si="15"/>
        <v>82.24244895174505</v>
      </c>
      <c r="L174" s="2"/>
      <c r="M174" s="2"/>
      <c r="N174" s="2"/>
      <c r="O174" s="2"/>
      <c r="P174" s="2"/>
      <c r="Q174" s="2"/>
      <c r="R174" s="2"/>
    </row>
    <row r="175" spans="1:18" ht="47.25" outlineLevel="2">
      <c r="A175" s="18" t="s">
        <v>211</v>
      </c>
      <c r="B175" s="18" t="s">
        <v>42</v>
      </c>
      <c r="C175" s="18" t="s">
        <v>7</v>
      </c>
      <c r="D175" s="18" t="s">
        <v>16</v>
      </c>
      <c r="E175" s="18"/>
      <c r="F175" s="19">
        <f>F176</f>
        <v>217344162.15</v>
      </c>
      <c r="G175" s="19">
        <f>G176</f>
        <v>962909444.39</v>
      </c>
      <c r="H175" s="19">
        <v>962909444.39</v>
      </c>
      <c r="I175" s="19">
        <v>196007864.54</v>
      </c>
      <c r="J175" s="20">
        <f t="shared" si="18"/>
        <v>20.355794169634546</v>
      </c>
      <c r="K175" s="20">
        <f t="shared" si="15"/>
        <v>90.18317428039553</v>
      </c>
      <c r="L175" s="2"/>
      <c r="M175" s="2"/>
      <c r="N175" s="2"/>
      <c r="O175" s="2"/>
      <c r="P175" s="2"/>
      <c r="Q175" s="2"/>
      <c r="R175" s="2"/>
    </row>
    <row r="176" spans="1:18" ht="15.75" outlineLevel="3">
      <c r="A176" s="10" t="s">
        <v>212</v>
      </c>
      <c r="B176" s="10" t="s">
        <v>42</v>
      </c>
      <c r="C176" s="10" t="s">
        <v>7</v>
      </c>
      <c r="D176" s="10" t="s">
        <v>16</v>
      </c>
      <c r="E176" s="10" t="s">
        <v>82</v>
      </c>
      <c r="F176" s="11">
        <f>818748.41+26289329.8+190236083.94</f>
        <v>217344162.15</v>
      </c>
      <c r="G176" s="11">
        <v>962909444.39</v>
      </c>
      <c r="H176" s="11">
        <v>962909444.39</v>
      </c>
      <c r="I176" s="11">
        <v>196007864.54</v>
      </c>
      <c r="J176" s="16">
        <f aca="true" t="shared" si="19" ref="J176:J186">I176/H176*100</f>
        <v>20.355794169634546</v>
      </c>
      <c r="K176" s="16">
        <f t="shared" si="15"/>
        <v>90.18317428039553</v>
      </c>
      <c r="L176" s="2"/>
      <c r="M176" s="2"/>
      <c r="N176" s="2"/>
      <c r="O176" s="2"/>
      <c r="P176" s="2"/>
      <c r="Q176" s="2"/>
      <c r="R176" s="2"/>
    </row>
    <row r="177" spans="1:18" ht="29.25" customHeight="1" outlineLevel="1">
      <c r="A177" s="18" t="s">
        <v>213</v>
      </c>
      <c r="B177" s="18" t="s">
        <v>42</v>
      </c>
      <c r="C177" s="18" t="s">
        <v>24</v>
      </c>
      <c r="D177" s="18"/>
      <c r="E177" s="18"/>
      <c r="F177" s="19">
        <f>F178</f>
        <v>7185829.2</v>
      </c>
      <c r="G177" s="19">
        <f>G178</f>
        <v>30366059</v>
      </c>
      <c r="H177" s="19">
        <v>30366059</v>
      </c>
      <c r="I177" s="19">
        <v>10569750.38</v>
      </c>
      <c r="J177" s="20">
        <f t="shared" si="19"/>
        <v>34.807777920737095</v>
      </c>
      <c r="K177" s="20">
        <f t="shared" si="15"/>
        <v>147.09158937426457</v>
      </c>
      <c r="L177" s="2"/>
      <c r="M177" s="2"/>
      <c r="N177" s="2"/>
      <c r="O177" s="2"/>
      <c r="P177" s="2"/>
      <c r="Q177" s="2"/>
      <c r="R177" s="2"/>
    </row>
    <row r="178" spans="1:18" ht="32.25" customHeight="1" outlineLevel="2">
      <c r="A178" s="18" t="s">
        <v>214</v>
      </c>
      <c r="B178" s="18" t="s">
        <v>42</v>
      </c>
      <c r="C178" s="18" t="s">
        <v>24</v>
      </c>
      <c r="D178" s="18" t="s">
        <v>17</v>
      </c>
      <c r="E178" s="18"/>
      <c r="F178" s="19">
        <f>F179</f>
        <v>7185829.2</v>
      </c>
      <c r="G178" s="19">
        <f>G179+G180</f>
        <v>30366059</v>
      </c>
      <c r="H178" s="19">
        <v>30366059</v>
      </c>
      <c r="I178" s="19">
        <v>10569750.38</v>
      </c>
      <c r="J178" s="20">
        <f t="shared" si="19"/>
        <v>34.807777920737095</v>
      </c>
      <c r="K178" s="20">
        <f t="shared" si="15"/>
        <v>147.09158937426457</v>
      </c>
      <c r="L178" s="2"/>
      <c r="M178" s="2"/>
      <c r="N178" s="2"/>
      <c r="O178" s="2"/>
      <c r="P178" s="2"/>
      <c r="Q178" s="2"/>
      <c r="R178" s="2"/>
    </row>
    <row r="179" spans="1:18" ht="15.75" outlineLevel="3">
      <c r="A179" s="10" t="s">
        <v>212</v>
      </c>
      <c r="B179" s="10" t="s">
        <v>42</v>
      </c>
      <c r="C179" s="10" t="s">
        <v>24</v>
      </c>
      <c r="D179" s="10" t="s">
        <v>17</v>
      </c>
      <c r="E179" s="10" t="s">
        <v>82</v>
      </c>
      <c r="F179" s="11">
        <v>7185829.2</v>
      </c>
      <c r="G179" s="11">
        <v>29966059</v>
      </c>
      <c r="H179" s="11">
        <v>29966059</v>
      </c>
      <c r="I179" s="11">
        <v>10450750.38</v>
      </c>
      <c r="J179" s="16">
        <f t="shared" si="19"/>
        <v>34.875291342114764</v>
      </c>
      <c r="K179" s="16">
        <f t="shared" si="15"/>
        <v>145.4355522393992</v>
      </c>
      <c r="L179" s="2"/>
      <c r="M179" s="2"/>
      <c r="N179" s="2"/>
      <c r="O179" s="2"/>
      <c r="P179" s="2"/>
      <c r="Q179" s="2"/>
      <c r="R179" s="2"/>
    </row>
    <row r="180" spans="1:18" ht="29.25" customHeight="1" outlineLevel="3">
      <c r="A180" s="10" t="s">
        <v>215</v>
      </c>
      <c r="B180" s="10" t="s">
        <v>42</v>
      </c>
      <c r="C180" s="10" t="s">
        <v>24</v>
      </c>
      <c r="D180" s="10" t="s">
        <v>17</v>
      </c>
      <c r="E180" s="10" t="s">
        <v>83</v>
      </c>
      <c r="F180" s="11">
        <v>0</v>
      </c>
      <c r="G180" s="11">
        <v>400000</v>
      </c>
      <c r="H180" s="11">
        <v>400000</v>
      </c>
      <c r="I180" s="11">
        <v>119000</v>
      </c>
      <c r="J180" s="16">
        <f t="shared" si="19"/>
        <v>29.75</v>
      </c>
      <c r="K180" s="16"/>
      <c r="L180" s="2"/>
      <c r="M180" s="2"/>
      <c r="N180" s="2"/>
      <c r="O180" s="2"/>
      <c r="P180" s="2"/>
      <c r="Q180" s="2"/>
      <c r="R180" s="2"/>
    </row>
    <row r="181" spans="1:18" ht="31.5" outlineLevel="1">
      <c r="A181" s="18" t="s">
        <v>291</v>
      </c>
      <c r="B181" s="18" t="s">
        <v>42</v>
      </c>
      <c r="C181" s="18" t="s">
        <v>54</v>
      </c>
      <c r="D181" s="18"/>
      <c r="E181" s="18"/>
      <c r="F181" s="19">
        <f>F182</f>
        <v>631152089</v>
      </c>
      <c r="G181" s="19">
        <f>G182</f>
        <v>1751600000</v>
      </c>
      <c r="H181" s="19">
        <v>1751600000</v>
      </c>
      <c r="I181" s="19">
        <v>494783560</v>
      </c>
      <c r="J181" s="20">
        <f t="shared" si="19"/>
        <v>28.24751998173099</v>
      </c>
      <c r="K181" s="20">
        <f t="shared" si="15"/>
        <v>78.39371343663572</v>
      </c>
      <c r="L181" s="2"/>
      <c r="M181" s="2"/>
      <c r="N181" s="2"/>
      <c r="O181" s="2"/>
      <c r="P181" s="2"/>
      <c r="Q181" s="2"/>
      <c r="R181" s="2"/>
    </row>
    <row r="182" spans="1:18" ht="33" customHeight="1" outlineLevel="2">
      <c r="A182" s="18" t="s">
        <v>216</v>
      </c>
      <c r="B182" s="18" t="s">
        <v>42</v>
      </c>
      <c r="C182" s="18" t="s">
        <v>54</v>
      </c>
      <c r="D182" s="18" t="s">
        <v>38</v>
      </c>
      <c r="E182" s="18"/>
      <c r="F182" s="19">
        <f>F183</f>
        <v>631152089</v>
      </c>
      <c r="G182" s="19">
        <f>G183</f>
        <v>1751600000</v>
      </c>
      <c r="H182" s="19">
        <v>1751600000</v>
      </c>
      <c r="I182" s="19">
        <v>494783560</v>
      </c>
      <c r="J182" s="20">
        <f t="shared" si="19"/>
        <v>28.24751998173099</v>
      </c>
      <c r="K182" s="20">
        <f t="shared" si="15"/>
        <v>78.39371343663572</v>
      </c>
      <c r="L182" s="2"/>
      <c r="M182" s="2"/>
      <c r="N182" s="2"/>
      <c r="O182" s="2"/>
      <c r="P182" s="2"/>
      <c r="Q182" s="2"/>
      <c r="R182" s="2"/>
    </row>
    <row r="183" spans="1:18" ht="15.75" outlineLevel="3">
      <c r="A183" s="10" t="s">
        <v>212</v>
      </c>
      <c r="B183" s="10" t="s">
        <v>42</v>
      </c>
      <c r="C183" s="10" t="s">
        <v>54</v>
      </c>
      <c r="D183" s="10" t="s">
        <v>38</v>
      </c>
      <c r="E183" s="10" t="s">
        <v>82</v>
      </c>
      <c r="F183" s="11">
        <f>288369440+4500000+55028800+217508250+65745599</f>
        <v>631152089</v>
      </c>
      <c r="G183" s="11">
        <v>1751600000</v>
      </c>
      <c r="H183" s="11">
        <v>1751600000</v>
      </c>
      <c r="I183" s="11">
        <v>494783560</v>
      </c>
      <c r="J183" s="16">
        <f t="shared" si="19"/>
        <v>28.24751998173099</v>
      </c>
      <c r="K183" s="16">
        <f t="shared" si="15"/>
        <v>78.39371343663572</v>
      </c>
      <c r="L183" s="2"/>
      <c r="M183" s="2"/>
      <c r="N183" s="2"/>
      <c r="O183" s="2"/>
      <c r="P183" s="2"/>
      <c r="Q183" s="2"/>
      <c r="R183" s="2"/>
    </row>
    <row r="184" spans="1:18" ht="31.5" outlineLevel="1">
      <c r="A184" s="18" t="s">
        <v>217</v>
      </c>
      <c r="B184" s="18" t="s">
        <v>42</v>
      </c>
      <c r="C184" s="18" t="s">
        <v>56</v>
      </c>
      <c r="D184" s="18"/>
      <c r="E184" s="18"/>
      <c r="F184" s="19">
        <f>F185</f>
        <v>2229584.53</v>
      </c>
      <c r="G184" s="19">
        <f>G185</f>
        <v>10390717</v>
      </c>
      <c r="H184" s="19">
        <v>10390717</v>
      </c>
      <c r="I184" s="19">
        <v>4206388.12</v>
      </c>
      <c r="J184" s="20">
        <f t="shared" si="19"/>
        <v>40.482173848060725</v>
      </c>
      <c r="K184" s="20">
        <f t="shared" si="15"/>
        <v>188.662419540559</v>
      </c>
      <c r="L184" s="2"/>
      <c r="M184" s="2"/>
      <c r="N184" s="2"/>
      <c r="O184" s="2"/>
      <c r="P184" s="2"/>
      <c r="Q184" s="2"/>
      <c r="R184" s="2"/>
    </row>
    <row r="185" spans="1:18" ht="96" customHeight="1" outlineLevel="2">
      <c r="A185" s="18" t="s">
        <v>218</v>
      </c>
      <c r="B185" s="18" t="s">
        <v>42</v>
      </c>
      <c r="C185" s="18" t="s">
        <v>56</v>
      </c>
      <c r="D185" s="18" t="s">
        <v>37</v>
      </c>
      <c r="E185" s="18"/>
      <c r="F185" s="19">
        <f>F186</f>
        <v>2229584.53</v>
      </c>
      <c r="G185" s="19">
        <f>G186</f>
        <v>10390717</v>
      </c>
      <c r="H185" s="19">
        <v>10390717</v>
      </c>
      <c r="I185" s="19">
        <v>4206388.12</v>
      </c>
      <c r="J185" s="20">
        <f t="shared" si="19"/>
        <v>40.482173848060725</v>
      </c>
      <c r="K185" s="20">
        <f t="shared" si="15"/>
        <v>188.662419540559</v>
      </c>
      <c r="L185" s="2"/>
      <c r="M185" s="2"/>
      <c r="N185" s="2"/>
      <c r="O185" s="2"/>
      <c r="P185" s="2"/>
      <c r="Q185" s="2"/>
      <c r="R185" s="2"/>
    </row>
    <row r="186" spans="1:18" ht="16.5" customHeight="1" outlineLevel="3">
      <c r="A186" s="10" t="s">
        <v>219</v>
      </c>
      <c r="B186" s="10" t="s">
        <v>42</v>
      </c>
      <c r="C186" s="10" t="s">
        <v>56</v>
      </c>
      <c r="D186" s="10" t="s">
        <v>37</v>
      </c>
      <c r="E186" s="10" t="s">
        <v>84</v>
      </c>
      <c r="F186" s="11">
        <v>2229584.53</v>
      </c>
      <c r="G186" s="11">
        <v>10390717</v>
      </c>
      <c r="H186" s="11">
        <v>10390717</v>
      </c>
      <c r="I186" s="11">
        <v>4206388.12</v>
      </c>
      <c r="J186" s="16">
        <f t="shared" si="19"/>
        <v>40.482173848060725</v>
      </c>
      <c r="K186" s="16">
        <f t="shared" si="15"/>
        <v>188.662419540559</v>
      </c>
      <c r="L186" s="2"/>
      <c r="M186" s="2"/>
      <c r="N186" s="2"/>
      <c r="O186" s="2"/>
      <c r="P186" s="2"/>
      <c r="Q186" s="2"/>
      <c r="R186" s="2"/>
    </row>
    <row r="187" spans="1:18" ht="48" customHeight="1">
      <c r="A187" s="18" t="s">
        <v>85</v>
      </c>
      <c r="B187" s="18" t="s">
        <v>86</v>
      </c>
      <c r="C187" s="18"/>
      <c r="D187" s="18"/>
      <c r="E187" s="18"/>
      <c r="F187" s="19">
        <f>F188+F190+F193+F196+F199+F202</f>
        <v>552646189.44</v>
      </c>
      <c r="G187" s="19">
        <f>G188+G190+G193+G196+G199+G202</f>
        <v>3074237190.21</v>
      </c>
      <c r="H187" s="19">
        <v>3074237190.21</v>
      </c>
      <c r="I187" s="19">
        <v>948865288.25</v>
      </c>
      <c r="J187" s="20">
        <f aca="true" t="shared" si="20" ref="J187:J193">I187/H187*100</f>
        <v>30.86506438968632</v>
      </c>
      <c r="K187" s="20">
        <f t="shared" si="15"/>
        <v>171.69489383641482</v>
      </c>
      <c r="L187" s="2"/>
      <c r="M187" s="2"/>
      <c r="N187" s="2"/>
      <c r="O187" s="2"/>
      <c r="P187" s="2"/>
      <c r="Q187" s="2"/>
      <c r="R187" s="2"/>
    </row>
    <row r="188" spans="1:18" ht="48.75" customHeight="1" outlineLevel="2">
      <c r="A188" s="18" t="s">
        <v>220</v>
      </c>
      <c r="B188" s="18" t="s">
        <v>86</v>
      </c>
      <c r="C188" s="18" t="s">
        <v>7</v>
      </c>
      <c r="D188" s="18" t="s">
        <v>16</v>
      </c>
      <c r="E188" s="18"/>
      <c r="F188" s="19">
        <f>F189</f>
        <v>13341299.120000001</v>
      </c>
      <c r="G188" s="19">
        <f>G189</f>
        <v>67234505</v>
      </c>
      <c r="H188" s="19">
        <v>67234505</v>
      </c>
      <c r="I188" s="19">
        <v>14203973.72</v>
      </c>
      <c r="J188" s="20">
        <f t="shared" si="20"/>
        <v>21.126018136074627</v>
      </c>
      <c r="K188" s="20">
        <f t="shared" si="15"/>
        <v>106.46619637443524</v>
      </c>
      <c r="L188" s="2"/>
      <c r="M188" s="2"/>
      <c r="N188" s="2"/>
      <c r="O188" s="2"/>
      <c r="P188" s="2"/>
      <c r="Q188" s="2"/>
      <c r="R188" s="2"/>
    </row>
    <row r="189" spans="1:18" ht="17.25" customHeight="1" outlineLevel="3">
      <c r="A189" s="10" t="s">
        <v>129</v>
      </c>
      <c r="B189" s="10" t="s">
        <v>86</v>
      </c>
      <c r="C189" s="10" t="s">
        <v>7</v>
      </c>
      <c r="D189" s="10" t="s">
        <v>16</v>
      </c>
      <c r="E189" s="10" t="s">
        <v>21</v>
      </c>
      <c r="F189" s="11">
        <f>5014078.79+7884355.33+442865</f>
        <v>13341299.120000001</v>
      </c>
      <c r="G189" s="11">
        <v>67234505</v>
      </c>
      <c r="H189" s="11">
        <v>67234505</v>
      </c>
      <c r="I189" s="11">
        <v>14203973.72</v>
      </c>
      <c r="J189" s="16">
        <f t="shared" si="20"/>
        <v>21.126018136074627</v>
      </c>
      <c r="K189" s="16">
        <f t="shared" si="15"/>
        <v>106.46619637443524</v>
      </c>
      <c r="L189" s="2"/>
      <c r="M189" s="2"/>
      <c r="N189" s="2"/>
      <c r="O189" s="2"/>
      <c r="P189" s="2"/>
      <c r="Q189" s="2"/>
      <c r="R189" s="2"/>
    </row>
    <row r="190" spans="1:18" ht="63" outlineLevel="1">
      <c r="A190" s="18" t="s">
        <v>221</v>
      </c>
      <c r="B190" s="18" t="s">
        <v>86</v>
      </c>
      <c r="C190" s="18" t="s">
        <v>24</v>
      </c>
      <c r="D190" s="18"/>
      <c r="E190" s="18"/>
      <c r="F190" s="19">
        <f>F191</f>
        <v>23213726.52</v>
      </c>
      <c r="G190" s="19">
        <f>G191</f>
        <v>181270387</v>
      </c>
      <c r="H190" s="19">
        <v>181270387</v>
      </c>
      <c r="I190" s="19">
        <v>166053987</v>
      </c>
      <c r="J190" s="20">
        <f t="shared" si="20"/>
        <v>91.60568901968527</v>
      </c>
      <c r="K190" s="20">
        <f t="shared" si="15"/>
        <v>715.3267135155343</v>
      </c>
      <c r="L190" s="2"/>
      <c r="M190" s="2"/>
      <c r="N190" s="2"/>
      <c r="O190" s="2"/>
      <c r="P190" s="2"/>
      <c r="Q190" s="2"/>
      <c r="R190" s="2"/>
    </row>
    <row r="191" spans="1:18" ht="65.25" customHeight="1" outlineLevel="2">
      <c r="A191" s="18" t="s">
        <v>222</v>
      </c>
      <c r="B191" s="18" t="s">
        <v>86</v>
      </c>
      <c r="C191" s="18" t="s">
        <v>24</v>
      </c>
      <c r="D191" s="18" t="s">
        <v>38</v>
      </c>
      <c r="E191" s="18"/>
      <c r="F191" s="19">
        <f>F192</f>
        <v>23213726.52</v>
      </c>
      <c r="G191" s="19">
        <f>G192</f>
        <v>181270387</v>
      </c>
      <c r="H191" s="19">
        <v>181270387</v>
      </c>
      <c r="I191" s="19">
        <v>166053987</v>
      </c>
      <c r="J191" s="20">
        <f t="shared" si="20"/>
        <v>91.60568901968527</v>
      </c>
      <c r="K191" s="20">
        <f t="shared" si="15"/>
        <v>715.3267135155343</v>
      </c>
      <c r="L191" s="2"/>
      <c r="M191" s="2"/>
      <c r="N191" s="2"/>
      <c r="O191" s="2"/>
      <c r="P191" s="2"/>
      <c r="Q191" s="2"/>
      <c r="R191" s="2"/>
    </row>
    <row r="192" spans="1:18" ht="16.5" customHeight="1" outlineLevel="3">
      <c r="A192" s="10" t="s">
        <v>129</v>
      </c>
      <c r="B192" s="10" t="s">
        <v>86</v>
      </c>
      <c r="C192" s="10" t="s">
        <v>24</v>
      </c>
      <c r="D192" s="10" t="s">
        <v>38</v>
      </c>
      <c r="E192" s="10" t="s">
        <v>21</v>
      </c>
      <c r="F192" s="11">
        <f>23213726.52</f>
        <v>23213726.52</v>
      </c>
      <c r="G192" s="11">
        <v>181270387</v>
      </c>
      <c r="H192" s="11">
        <v>181270387</v>
      </c>
      <c r="I192" s="11">
        <v>166053987</v>
      </c>
      <c r="J192" s="16">
        <f t="shared" si="20"/>
        <v>91.60568901968527</v>
      </c>
      <c r="K192" s="16">
        <f t="shared" si="15"/>
        <v>715.3267135155343</v>
      </c>
      <c r="L192" s="2"/>
      <c r="M192" s="2"/>
      <c r="N192" s="2"/>
      <c r="O192" s="2"/>
      <c r="P192" s="2"/>
      <c r="Q192" s="2"/>
      <c r="R192" s="2"/>
    </row>
    <row r="193" spans="1:18" ht="31.5" outlineLevel="1">
      <c r="A193" s="18" t="s">
        <v>223</v>
      </c>
      <c r="B193" s="18" t="s">
        <v>86</v>
      </c>
      <c r="C193" s="18" t="s">
        <v>54</v>
      </c>
      <c r="D193" s="18"/>
      <c r="E193" s="18"/>
      <c r="F193" s="19">
        <f>F194</f>
        <v>11681685</v>
      </c>
      <c r="G193" s="19">
        <f>G194</f>
        <v>9097175</v>
      </c>
      <c r="H193" s="19">
        <v>9097175</v>
      </c>
      <c r="I193" s="19">
        <v>3959960</v>
      </c>
      <c r="J193" s="20">
        <f t="shared" si="20"/>
        <v>43.5295572526636</v>
      </c>
      <c r="K193" s="20">
        <f t="shared" si="15"/>
        <v>33.89887674594889</v>
      </c>
      <c r="L193" s="2"/>
      <c r="M193" s="2"/>
      <c r="N193" s="2"/>
      <c r="O193" s="2"/>
      <c r="P193" s="2"/>
      <c r="Q193" s="2"/>
      <c r="R193" s="2"/>
    </row>
    <row r="194" spans="1:18" ht="47.25" outlineLevel="2">
      <c r="A194" s="18" t="s">
        <v>224</v>
      </c>
      <c r="B194" s="18" t="s">
        <v>86</v>
      </c>
      <c r="C194" s="18" t="s">
        <v>54</v>
      </c>
      <c r="D194" s="18" t="s">
        <v>37</v>
      </c>
      <c r="E194" s="18"/>
      <c r="F194" s="19">
        <f>F195</f>
        <v>11681685</v>
      </c>
      <c r="G194" s="19">
        <f>G195</f>
        <v>9097175</v>
      </c>
      <c r="H194" s="19">
        <v>9097175</v>
      </c>
      <c r="I194" s="19">
        <v>3959960</v>
      </c>
      <c r="J194" s="20">
        <f aca="true" t="shared" si="21" ref="J194:J204">I194/H194*100</f>
        <v>43.5295572526636</v>
      </c>
      <c r="K194" s="20">
        <f t="shared" si="15"/>
        <v>33.89887674594889</v>
      </c>
      <c r="L194" s="2"/>
      <c r="M194" s="2"/>
      <c r="N194" s="2"/>
      <c r="O194" s="2"/>
      <c r="P194" s="2"/>
      <c r="Q194" s="2"/>
      <c r="R194" s="2"/>
    </row>
    <row r="195" spans="1:18" ht="15.75" customHeight="1" outlineLevel="3">
      <c r="A195" s="10" t="s">
        <v>129</v>
      </c>
      <c r="B195" s="10" t="s">
        <v>86</v>
      </c>
      <c r="C195" s="10" t="s">
        <v>54</v>
      </c>
      <c r="D195" s="10" t="s">
        <v>37</v>
      </c>
      <c r="E195" s="10" t="s">
        <v>21</v>
      </c>
      <c r="F195" s="11">
        <f>1681685+10000000</f>
        <v>11681685</v>
      </c>
      <c r="G195" s="11">
        <v>9097175</v>
      </c>
      <c r="H195" s="11">
        <v>9097175</v>
      </c>
      <c r="I195" s="11">
        <v>3959960</v>
      </c>
      <c r="J195" s="16">
        <f t="shared" si="21"/>
        <v>43.5295572526636</v>
      </c>
      <c r="K195" s="16">
        <f t="shared" si="15"/>
        <v>33.89887674594889</v>
      </c>
      <c r="L195" s="2"/>
      <c r="M195" s="2"/>
      <c r="N195" s="2"/>
      <c r="O195" s="2"/>
      <c r="P195" s="2"/>
      <c r="Q195" s="2"/>
      <c r="R195" s="2"/>
    </row>
    <row r="196" spans="1:18" ht="17.25" customHeight="1" outlineLevel="1">
      <c r="A196" s="18" t="s">
        <v>225</v>
      </c>
      <c r="B196" s="18" t="s">
        <v>86</v>
      </c>
      <c r="C196" s="18" t="s">
        <v>56</v>
      </c>
      <c r="D196" s="18"/>
      <c r="E196" s="18"/>
      <c r="F196" s="19">
        <f>F197</f>
        <v>490654287.36</v>
      </c>
      <c r="G196" s="19">
        <f>G197</f>
        <v>2779216086.21</v>
      </c>
      <c r="H196" s="19">
        <v>2779216086.21</v>
      </c>
      <c r="I196" s="19">
        <v>749915890.75</v>
      </c>
      <c r="J196" s="20">
        <f t="shared" si="21"/>
        <v>26.9830005112217</v>
      </c>
      <c r="K196" s="20">
        <f t="shared" si="15"/>
        <v>152.83997512484305</v>
      </c>
      <c r="L196" s="2"/>
      <c r="M196" s="2"/>
      <c r="N196" s="2"/>
      <c r="O196" s="2"/>
      <c r="P196" s="2"/>
      <c r="Q196" s="2"/>
      <c r="R196" s="2"/>
    </row>
    <row r="197" spans="1:18" ht="47.25" outlineLevel="2">
      <c r="A197" s="18" t="s">
        <v>226</v>
      </c>
      <c r="B197" s="18" t="s">
        <v>86</v>
      </c>
      <c r="C197" s="18" t="s">
        <v>56</v>
      </c>
      <c r="D197" s="18" t="s">
        <v>9</v>
      </c>
      <c r="E197" s="18"/>
      <c r="F197" s="19">
        <f>F198</f>
        <v>490654287.36</v>
      </c>
      <c r="G197" s="19">
        <f>G198</f>
        <v>2779216086.21</v>
      </c>
      <c r="H197" s="19">
        <v>2779216086.21</v>
      </c>
      <c r="I197" s="19">
        <v>749915890.75</v>
      </c>
      <c r="J197" s="20">
        <f t="shared" si="21"/>
        <v>26.9830005112217</v>
      </c>
      <c r="K197" s="20">
        <f t="shared" si="15"/>
        <v>152.83997512484305</v>
      </c>
      <c r="L197" s="2"/>
      <c r="M197" s="2"/>
      <c r="N197" s="2"/>
      <c r="O197" s="2"/>
      <c r="P197" s="2"/>
      <c r="Q197" s="2"/>
      <c r="R197" s="2"/>
    </row>
    <row r="198" spans="1:18" ht="15.75" customHeight="1" outlineLevel="3">
      <c r="A198" s="10" t="s">
        <v>129</v>
      </c>
      <c r="B198" s="10" t="s">
        <v>86</v>
      </c>
      <c r="C198" s="10" t="s">
        <v>56</v>
      </c>
      <c r="D198" s="10" t="s">
        <v>9</v>
      </c>
      <c r="E198" s="10" t="s">
        <v>21</v>
      </c>
      <c r="F198" s="11">
        <f>57403851.56+46962248.68+263936149.8+3110280+119241757.32</f>
        <v>490654287.36</v>
      </c>
      <c r="G198" s="11">
        <v>2779216086.21</v>
      </c>
      <c r="H198" s="11">
        <v>2779216086.21</v>
      </c>
      <c r="I198" s="11">
        <v>749915890.75</v>
      </c>
      <c r="J198" s="16">
        <f t="shared" si="21"/>
        <v>26.9830005112217</v>
      </c>
      <c r="K198" s="16">
        <f t="shared" si="15"/>
        <v>152.83997512484305</v>
      </c>
      <c r="L198" s="2"/>
      <c r="M198" s="2"/>
      <c r="N198" s="2"/>
      <c r="O198" s="2"/>
      <c r="P198" s="2"/>
      <c r="Q198" s="2"/>
      <c r="R198" s="2"/>
    </row>
    <row r="199" spans="1:18" ht="31.5" outlineLevel="1">
      <c r="A199" s="18" t="s">
        <v>227</v>
      </c>
      <c r="B199" s="18" t="s">
        <v>86</v>
      </c>
      <c r="C199" s="18" t="s">
        <v>58</v>
      </c>
      <c r="D199" s="18"/>
      <c r="E199" s="18"/>
      <c r="F199" s="19">
        <f>F200</f>
        <v>2048582.85</v>
      </c>
      <c r="G199" s="19">
        <f>G200</f>
        <v>8919037</v>
      </c>
      <c r="H199" s="19">
        <v>8919037</v>
      </c>
      <c r="I199" s="19">
        <v>2548424.75</v>
      </c>
      <c r="J199" s="20">
        <f t="shared" si="21"/>
        <v>28.572868909502226</v>
      </c>
      <c r="K199" s="20">
        <f aca="true" t="shared" si="22" ref="K199:K260">I199/F199*100</f>
        <v>124.39939883319826</v>
      </c>
      <c r="L199" s="2"/>
      <c r="M199" s="2"/>
      <c r="N199" s="2"/>
      <c r="O199" s="2"/>
      <c r="P199" s="2"/>
      <c r="Q199" s="2"/>
      <c r="R199" s="2"/>
    </row>
    <row r="200" spans="1:18" ht="49.5" customHeight="1" outlineLevel="2">
      <c r="A200" s="18" t="s">
        <v>228</v>
      </c>
      <c r="B200" s="18" t="s">
        <v>86</v>
      </c>
      <c r="C200" s="18" t="s">
        <v>58</v>
      </c>
      <c r="D200" s="18" t="s">
        <v>17</v>
      </c>
      <c r="E200" s="18"/>
      <c r="F200" s="19">
        <f>F201</f>
        <v>2048582.85</v>
      </c>
      <c r="G200" s="19">
        <f>G201</f>
        <v>8919037</v>
      </c>
      <c r="H200" s="19">
        <v>8919037</v>
      </c>
      <c r="I200" s="19">
        <v>2548424.75</v>
      </c>
      <c r="J200" s="20">
        <f t="shared" si="21"/>
        <v>28.572868909502226</v>
      </c>
      <c r="K200" s="20">
        <f t="shared" si="22"/>
        <v>124.39939883319826</v>
      </c>
      <c r="L200" s="2"/>
      <c r="M200" s="2"/>
      <c r="N200" s="2"/>
      <c r="O200" s="2"/>
      <c r="P200" s="2"/>
      <c r="Q200" s="2"/>
      <c r="R200" s="2"/>
    </row>
    <row r="201" spans="1:18" ht="15.75" outlineLevel="3">
      <c r="A201" s="10" t="s">
        <v>229</v>
      </c>
      <c r="B201" s="10" t="s">
        <v>86</v>
      </c>
      <c r="C201" s="10" t="s">
        <v>58</v>
      </c>
      <c r="D201" s="10" t="s">
        <v>17</v>
      </c>
      <c r="E201" s="10" t="s">
        <v>87</v>
      </c>
      <c r="F201" s="11">
        <v>2048582.85</v>
      </c>
      <c r="G201" s="11">
        <v>8919037</v>
      </c>
      <c r="H201" s="11">
        <v>8919037</v>
      </c>
      <c r="I201" s="11">
        <v>2548424.75</v>
      </c>
      <c r="J201" s="16">
        <f t="shared" si="21"/>
        <v>28.572868909502226</v>
      </c>
      <c r="K201" s="16">
        <f t="shared" si="22"/>
        <v>124.39939883319826</v>
      </c>
      <c r="L201" s="2"/>
      <c r="M201" s="2"/>
      <c r="N201" s="2"/>
      <c r="O201" s="2"/>
      <c r="P201" s="2"/>
      <c r="Q201" s="2"/>
      <c r="R201" s="2"/>
    </row>
    <row r="202" spans="1:18" ht="31.5" outlineLevel="1">
      <c r="A202" s="18" t="s">
        <v>230</v>
      </c>
      <c r="B202" s="18" t="s">
        <v>86</v>
      </c>
      <c r="C202" s="18" t="s">
        <v>64</v>
      </c>
      <c r="D202" s="18"/>
      <c r="E202" s="18"/>
      <c r="F202" s="19">
        <f>F203</f>
        <v>11706608.59</v>
      </c>
      <c r="G202" s="19">
        <f>G203</f>
        <v>28500000</v>
      </c>
      <c r="H202" s="19">
        <v>28500000</v>
      </c>
      <c r="I202" s="19">
        <v>12183052.03</v>
      </c>
      <c r="J202" s="20">
        <f t="shared" si="21"/>
        <v>42.74755098245614</v>
      </c>
      <c r="K202" s="20">
        <f t="shared" si="22"/>
        <v>104.06986734319439</v>
      </c>
      <c r="L202" s="2"/>
      <c r="M202" s="2"/>
      <c r="N202" s="2"/>
      <c r="O202" s="2"/>
      <c r="P202" s="2"/>
      <c r="Q202" s="2"/>
      <c r="R202" s="2"/>
    </row>
    <row r="203" spans="1:18" ht="31.5" outlineLevel="2">
      <c r="A203" s="18" t="s">
        <v>231</v>
      </c>
      <c r="B203" s="18" t="s">
        <v>86</v>
      </c>
      <c r="C203" s="18" t="s">
        <v>64</v>
      </c>
      <c r="D203" s="18" t="s">
        <v>40</v>
      </c>
      <c r="E203" s="18"/>
      <c r="F203" s="19">
        <f>F204</f>
        <v>11706608.59</v>
      </c>
      <c r="G203" s="19">
        <f>G204</f>
        <v>28500000</v>
      </c>
      <c r="H203" s="19">
        <v>28500000</v>
      </c>
      <c r="I203" s="19">
        <v>12183052.03</v>
      </c>
      <c r="J203" s="20">
        <f t="shared" si="21"/>
        <v>42.74755098245614</v>
      </c>
      <c r="K203" s="20">
        <f t="shared" si="22"/>
        <v>104.06986734319439</v>
      </c>
      <c r="L203" s="2"/>
      <c r="M203" s="2"/>
      <c r="N203" s="2"/>
      <c r="O203" s="2"/>
      <c r="P203" s="2"/>
      <c r="Q203" s="2"/>
      <c r="R203" s="2"/>
    </row>
    <row r="204" spans="1:18" ht="16.5" customHeight="1" outlineLevel="3">
      <c r="A204" s="10" t="s">
        <v>129</v>
      </c>
      <c r="B204" s="10" t="s">
        <v>86</v>
      </c>
      <c r="C204" s="10" t="s">
        <v>64</v>
      </c>
      <c r="D204" s="10" t="s">
        <v>40</v>
      </c>
      <c r="E204" s="10" t="s">
        <v>21</v>
      </c>
      <c r="F204" s="11">
        <v>11706608.59</v>
      </c>
      <c r="G204" s="11">
        <v>28500000</v>
      </c>
      <c r="H204" s="11">
        <v>28500000</v>
      </c>
      <c r="I204" s="11">
        <v>12183052.03</v>
      </c>
      <c r="J204" s="16">
        <f t="shared" si="21"/>
        <v>42.74755098245614</v>
      </c>
      <c r="K204" s="16">
        <f t="shared" si="22"/>
        <v>104.06986734319439</v>
      </c>
      <c r="L204" s="2"/>
      <c r="M204" s="2"/>
      <c r="N204" s="2"/>
      <c r="O204" s="2"/>
      <c r="P204" s="2"/>
      <c r="Q204" s="2"/>
      <c r="R204" s="2"/>
    </row>
    <row r="205" spans="1:18" ht="31.5">
      <c r="A205" s="18" t="s">
        <v>88</v>
      </c>
      <c r="B205" s="18" t="s">
        <v>9</v>
      </c>
      <c r="C205" s="18"/>
      <c r="D205" s="18"/>
      <c r="E205" s="18"/>
      <c r="F205" s="19">
        <f>F206+F209+F212+F214+F216+F220+F229+F232+F235</f>
        <v>2353828558.35</v>
      </c>
      <c r="G205" s="19">
        <f>G206+G209+G212+G214+G216+G220+G229+G232+G235</f>
        <v>10924388905</v>
      </c>
      <c r="H205" s="19">
        <v>11091324097.8</v>
      </c>
      <c r="I205" s="19">
        <v>2410094108.08</v>
      </c>
      <c r="J205" s="20">
        <f aca="true" t="shared" si="23" ref="J205:J211">I205/H205*100</f>
        <v>21.729543621920218</v>
      </c>
      <c r="K205" s="20">
        <f t="shared" si="22"/>
        <v>102.39038436042433</v>
      </c>
      <c r="L205" s="2"/>
      <c r="M205" s="2"/>
      <c r="N205" s="2"/>
      <c r="O205" s="2"/>
      <c r="P205" s="2"/>
      <c r="Q205" s="2"/>
      <c r="R205" s="2"/>
    </row>
    <row r="206" spans="1:18" ht="31.5" outlineLevel="2">
      <c r="A206" s="18" t="s">
        <v>232</v>
      </c>
      <c r="B206" s="18" t="s">
        <v>9</v>
      </c>
      <c r="C206" s="18" t="s">
        <v>7</v>
      </c>
      <c r="D206" s="18" t="s">
        <v>16</v>
      </c>
      <c r="E206" s="18"/>
      <c r="F206" s="19">
        <f>F207+F208</f>
        <v>13042585.81</v>
      </c>
      <c r="G206" s="19">
        <f>G208</f>
        <v>49673198</v>
      </c>
      <c r="H206" s="19">
        <v>49673198</v>
      </c>
      <c r="I206" s="19">
        <v>16118929.62</v>
      </c>
      <c r="J206" s="20">
        <f t="shared" si="23"/>
        <v>32.44995343364041</v>
      </c>
      <c r="K206" s="20">
        <f t="shared" si="22"/>
        <v>123.5869163892432</v>
      </c>
      <c r="L206" s="2"/>
      <c r="M206" s="2"/>
      <c r="N206" s="2"/>
      <c r="O206" s="2"/>
      <c r="P206" s="2"/>
      <c r="Q206" s="2"/>
      <c r="R206" s="2"/>
    </row>
    <row r="207" spans="1:18" ht="15.75" outlineLevel="2">
      <c r="A207" s="10" t="s">
        <v>120</v>
      </c>
      <c r="B207" s="10" t="s">
        <v>9</v>
      </c>
      <c r="C207" s="10" t="s">
        <v>7</v>
      </c>
      <c r="D207" s="10" t="s">
        <v>16</v>
      </c>
      <c r="E207" s="10" t="s">
        <v>11</v>
      </c>
      <c r="F207" s="11">
        <v>650835.89</v>
      </c>
      <c r="G207" s="11">
        <v>0</v>
      </c>
      <c r="H207" s="11">
        <v>0</v>
      </c>
      <c r="I207" s="11">
        <v>0</v>
      </c>
      <c r="J207" s="20"/>
      <c r="K207" s="16">
        <f t="shared" si="22"/>
        <v>0</v>
      </c>
      <c r="L207" s="2"/>
      <c r="M207" s="2"/>
      <c r="N207" s="2"/>
      <c r="O207" s="2"/>
      <c r="P207" s="2"/>
      <c r="Q207" s="2"/>
      <c r="R207" s="2"/>
    </row>
    <row r="208" spans="1:18" ht="31.5" outlineLevel="3">
      <c r="A208" s="10" t="s">
        <v>121</v>
      </c>
      <c r="B208" s="10" t="s">
        <v>9</v>
      </c>
      <c r="C208" s="10" t="s">
        <v>7</v>
      </c>
      <c r="D208" s="10" t="s">
        <v>16</v>
      </c>
      <c r="E208" s="10" t="s">
        <v>12</v>
      </c>
      <c r="F208" s="11">
        <f>12383749.92+8000</f>
        <v>12391749.92</v>
      </c>
      <c r="G208" s="11">
        <v>49673198</v>
      </c>
      <c r="H208" s="11">
        <v>49673198</v>
      </c>
      <c r="I208" s="11">
        <v>16118929.62</v>
      </c>
      <c r="J208" s="16">
        <f t="shared" si="23"/>
        <v>32.44995343364041</v>
      </c>
      <c r="K208" s="16">
        <f t="shared" si="22"/>
        <v>130.07791251487748</v>
      </c>
      <c r="L208" s="2"/>
      <c r="M208" s="2"/>
      <c r="N208" s="2"/>
      <c r="O208" s="2"/>
      <c r="P208" s="2"/>
      <c r="Q208" s="2"/>
      <c r="R208" s="2"/>
    </row>
    <row r="209" spans="1:18" ht="33" customHeight="1" outlineLevel="2">
      <c r="A209" s="18" t="s">
        <v>233</v>
      </c>
      <c r="B209" s="18" t="s">
        <v>9</v>
      </c>
      <c r="C209" s="18" t="s">
        <v>7</v>
      </c>
      <c r="D209" s="18" t="s">
        <v>9</v>
      </c>
      <c r="E209" s="18"/>
      <c r="F209" s="19">
        <f>F210+F211</f>
        <v>274707057.96999997</v>
      </c>
      <c r="G209" s="19">
        <f>G210+G211</f>
        <v>1020232474.04</v>
      </c>
      <c r="H209" s="19">
        <v>1020232474.04</v>
      </c>
      <c r="I209" s="19">
        <v>281555543.99</v>
      </c>
      <c r="J209" s="20">
        <f t="shared" si="23"/>
        <v>27.597194870211624</v>
      </c>
      <c r="K209" s="20">
        <f t="shared" si="22"/>
        <v>102.49301422053303</v>
      </c>
      <c r="L209" s="2"/>
      <c r="M209" s="2"/>
      <c r="N209" s="2"/>
      <c r="O209" s="2"/>
      <c r="P209" s="2"/>
      <c r="Q209" s="2"/>
      <c r="R209" s="2"/>
    </row>
    <row r="210" spans="1:18" ht="15.75" customHeight="1" outlineLevel="3">
      <c r="A210" s="10" t="s">
        <v>129</v>
      </c>
      <c r="B210" s="10" t="s">
        <v>9</v>
      </c>
      <c r="C210" s="10" t="s">
        <v>7</v>
      </c>
      <c r="D210" s="10" t="s">
        <v>9</v>
      </c>
      <c r="E210" s="10" t="s">
        <v>21</v>
      </c>
      <c r="F210" s="11">
        <v>176240</v>
      </c>
      <c r="G210" s="11">
        <v>10000000</v>
      </c>
      <c r="H210" s="11">
        <v>10000000</v>
      </c>
      <c r="I210" s="11">
        <v>0</v>
      </c>
      <c r="J210" s="16">
        <f t="shared" si="23"/>
        <v>0</v>
      </c>
      <c r="K210" s="16">
        <f t="shared" si="22"/>
        <v>0</v>
      </c>
      <c r="L210" s="2"/>
      <c r="M210" s="2"/>
      <c r="N210" s="2"/>
      <c r="O210" s="2"/>
      <c r="P210" s="2"/>
      <c r="Q210" s="2"/>
      <c r="R210" s="2"/>
    </row>
    <row r="211" spans="1:18" ht="31.5" outlineLevel="3">
      <c r="A211" s="10" t="s">
        <v>121</v>
      </c>
      <c r="B211" s="10" t="s">
        <v>9</v>
      </c>
      <c r="C211" s="10" t="s">
        <v>7</v>
      </c>
      <c r="D211" s="10" t="s">
        <v>9</v>
      </c>
      <c r="E211" s="10" t="s">
        <v>12</v>
      </c>
      <c r="F211" s="11">
        <f>274492378.95+38439.02</f>
        <v>274530817.96999997</v>
      </c>
      <c r="G211" s="11">
        <v>1010232474.04</v>
      </c>
      <c r="H211" s="11">
        <v>1010232474.04</v>
      </c>
      <c r="I211" s="11">
        <v>281555543.99</v>
      </c>
      <c r="J211" s="16">
        <f t="shared" si="23"/>
        <v>27.870371545673738</v>
      </c>
      <c r="K211" s="16">
        <f t="shared" si="22"/>
        <v>102.55881145582994</v>
      </c>
      <c r="L211" s="2"/>
      <c r="M211" s="2"/>
      <c r="N211" s="2"/>
      <c r="O211" s="2"/>
      <c r="P211" s="2"/>
      <c r="Q211" s="2"/>
      <c r="R211" s="2"/>
    </row>
    <row r="212" spans="1:18" ht="47.25" outlineLevel="2">
      <c r="A212" s="18" t="s">
        <v>234</v>
      </c>
      <c r="B212" s="18" t="s">
        <v>9</v>
      </c>
      <c r="C212" s="18" t="s">
        <v>7</v>
      </c>
      <c r="D212" s="18" t="s">
        <v>13</v>
      </c>
      <c r="E212" s="18"/>
      <c r="F212" s="19">
        <f>F213</f>
        <v>96751161</v>
      </c>
      <c r="G212" s="19">
        <f>G213</f>
        <v>607857300.5</v>
      </c>
      <c r="H212" s="19">
        <v>607857300.5</v>
      </c>
      <c r="I212" s="19">
        <v>93260231.49</v>
      </c>
      <c r="J212" s="20">
        <f aca="true" t="shared" si="24" ref="J212:J223">I212/H212*100</f>
        <v>15.342454785570187</v>
      </c>
      <c r="K212" s="20">
        <f t="shared" si="22"/>
        <v>96.39184742186194</v>
      </c>
      <c r="L212" s="2"/>
      <c r="M212" s="2"/>
      <c r="N212" s="2"/>
      <c r="O212" s="2"/>
      <c r="P212" s="2"/>
      <c r="Q212" s="2"/>
      <c r="R212" s="2"/>
    </row>
    <row r="213" spans="1:18" ht="31.5" outlineLevel="3">
      <c r="A213" s="10" t="s">
        <v>121</v>
      </c>
      <c r="B213" s="10" t="s">
        <v>9</v>
      </c>
      <c r="C213" s="10" t="s">
        <v>7</v>
      </c>
      <c r="D213" s="10" t="s">
        <v>13</v>
      </c>
      <c r="E213" s="10" t="s">
        <v>12</v>
      </c>
      <c r="F213" s="11">
        <f>1087136+88697800+500000+235000+6231225</f>
        <v>96751161</v>
      </c>
      <c r="G213" s="11">
        <v>607857300.5</v>
      </c>
      <c r="H213" s="11">
        <v>607857300.5</v>
      </c>
      <c r="I213" s="11">
        <v>93260231.49</v>
      </c>
      <c r="J213" s="16">
        <f t="shared" si="24"/>
        <v>15.342454785570187</v>
      </c>
      <c r="K213" s="16">
        <f t="shared" si="22"/>
        <v>96.39184742186194</v>
      </c>
      <c r="L213" s="2"/>
      <c r="M213" s="2"/>
      <c r="N213" s="2"/>
      <c r="O213" s="2"/>
      <c r="P213" s="2"/>
      <c r="Q213" s="2"/>
      <c r="R213" s="2"/>
    </row>
    <row r="214" spans="1:18" ht="48" customHeight="1" outlineLevel="2">
      <c r="A214" s="18" t="s">
        <v>235</v>
      </c>
      <c r="B214" s="18" t="s">
        <v>9</v>
      </c>
      <c r="C214" s="18" t="s">
        <v>7</v>
      </c>
      <c r="D214" s="18" t="s">
        <v>19</v>
      </c>
      <c r="E214" s="18"/>
      <c r="F214" s="19">
        <f>F215</f>
        <v>169995370.65</v>
      </c>
      <c r="G214" s="19">
        <f>G215</f>
        <v>699786704.72</v>
      </c>
      <c r="H214" s="19">
        <v>768633997.52</v>
      </c>
      <c r="I214" s="19">
        <v>243888252.62</v>
      </c>
      <c r="J214" s="20">
        <f t="shared" si="24"/>
        <v>31.73008914605732</v>
      </c>
      <c r="K214" s="20">
        <f t="shared" si="22"/>
        <v>143.46758484508177</v>
      </c>
      <c r="L214" s="2"/>
      <c r="M214" s="2"/>
      <c r="N214" s="2"/>
      <c r="O214" s="2"/>
      <c r="P214" s="2"/>
      <c r="Q214" s="2"/>
      <c r="R214" s="2"/>
    </row>
    <row r="215" spans="1:18" ht="31.5" outlineLevel="3">
      <c r="A215" s="10" t="s">
        <v>121</v>
      </c>
      <c r="B215" s="10" t="s">
        <v>9</v>
      </c>
      <c r="C215" s="10" t="s">
        <v>7</v>
      </c>
      <c r="D215" s="10" t="s">
        <v>19</v>
      </c>
      <c r="E215" s="10" t="s">
        <v>12</v>
      </c>
      <c r="F215" s="11">
        <f>2352715+55300013.86+22680411.06+10989107.95+2585000+1567780+36208231.51+12240766.71+640000+1833823.84+21911453.68+1686067.04</f>
        <v>169995370.65</v>
      </c>
      <c r="G215" s="11">
        <v>699786704.72</v>
      </c>
      <c r="H215" s="11">
        <v>768633997.52</v>
      </c>
      <c r="I215" s="11">
        <v>243888252.62</v>
      </c>
      <c r="J215" s="16">
        <f t="shared" si="24"/>
        <v>31.73008914605732</v>
      </c>
      <c r="K215" s="16">
        <f t="shared" si="22"/>
        <v>143.46758484508177</v>
      </c>
      <c r="L215" s="2"/>
      <c r="M215" s="2"/>
      <c r="N215" s="2"/>
      <c r="O215" s="2"/>
      <c r="P215" s="2"/>
      <c r="Q215" s="2"/>
      <c r="R215" s="2"/>
    </row>
    <row r="216" spans="1:18" ht="110.25" outlineLevel="2">
      <c r="A216" s="18" t="s">
        <v>236</v>
      </c>
      <c r="B216" s="18" t="s">
        <v>9</v>
      </c>
      <c r="C216" s="18" t="s">
        <v>7</v>
      </c>
      <c r="D216" s="18" t="s">
        <v>20</v>
      </c>
      <c r="E216" s="18"/>
      <c r="F216" s="19">
        <f>F217+F218+F219</f>
        <v>1421098128.6399999</v>
      </c>
      <c r="G216" s="19">
        <f>G217+G218+G219</f>
        <v>6878890169.56</v>
      </c>
      <c r="H216" s="19">
        <v>6976978069.56</v>
      </c>
      <c r="I216" s="19">
        <v>1301625193.12</v>
      </c>
      <c r="J216" s="20">
        <f t="shared" si="24"/>
        <v>18.65600235722235</v>
      </c>
      <c r="K216" s="20">
        <f t="shared" si="22"/>
        <v>91.59291444325972</v>
      </c>
      <c r="L216" s="2"/>
      <c r="M216" s="2"/>
      <c r="N216" s="2"/>
      <c r="O216" s="2"/>
      <c r="P216" s="2"/>
      <c r="Q216" s="2"/>
      <c r="R216" s="2"/>
    </row>
    <row r="217" spans="1:18" ht="16.5" customHeight="1" outlineLevel="3">
      <c r="A217" s="10" t="s">
        <v>129</v>
      </c>
      <c r="B217" s="10" t="s">
        <v>9</v>
      </c>
      <c r="C217" s="10" t="s">
        <v>7</v>
      </c>
      <c r="D217" s="10" t="s">
        <v>20</v>
      </c>
      <c r="E217" s="10" t="s">
        <v>21</v>
      </c>
      <c r="F217" s="11">
        <f>355057808.37</f>
        <v>355057808.37</v>
      </c>
      <c r="G217" s="11">
        <v>2201196700</v>
      </c>
      <c r="H217" s="11">
        <v>2201196700</v>
      </c>
      <c r="I217" s="11">
        <v>156911095.02</v>
      </c>
      <c r="J217" s="16">
        <f t="shared" si="24"/>
        <v>7.128444950876039</v>
      </c>
      <c r="K217" s="16">
        <f t="shared" si="22"/>
        <v>44.19311202881236</v>
      </c>
      <c r="L217" s="2"/>
      <c r="M217" s="2"/>
      <c r="N217" s="2"/>
      <c r="O217" s="2"/>
      <c r="P217" s="2"/>
      <c r="Q217" s="2"/>
      <c r="R217" s="2"/>
    </row>
    <row r="218" spans="1:18" ht="31.5" outlineLevel="3">
      <c r="A218" s="10" t="s">
        <v>121</v>
      </c>
      <c r="B218" s="10" t="s">
        <v>9</v>
      </c>
      <c r="C218" s="10" t="s">
        <v>7</v>
      </c>
      <c r="D218" s="10" t="s">
        <v>20</v>
      </c>
      <c r="E218" s="10" t="s">
        <v>12</v>
      </c>
      <c r="F218" s="11">
        <f>7300441.38+11529630.55+6791671.31+7147073.28+2316000+89982540.28+77540+5664.72+10200404.9+638510+741052.86+68771.55+112000+10281044+19072+44353153.82+456894502.65+1275731.23+47267839.03+235935238.55+1837238.88+5901.16+115903902.12-137104</f>
        <v>1050547820.2699999</v>
      </c>
      <c r="G218" s="11">
        <v>4615723469.56</v>
      </c>
      <c r="H218" s="11">
        <v>4713811369.56</v>
      </c>
      <c r="I218" s="11">
        <v>1129268279.1</v>
      </c>
      <c r="J218" s="16">
        <f t="shared" si="24"/>
        <v>23.95658609490368</v>
      </c>
      <c r="K218" s="16">
        <f t="shared" si="22"/>
        <v>107.4932770608927</v>
      </c>
      <c r="L218" s="2"/>
      <c r="M218" s="2"/>
      <c r="N218" s="2"/>
      <c r="O218" s="2"/>
      <c r="P218" s="2"/>
      <c r="Q218" s="2"/>
      <c r="R218" s="2"/>
    </row>
    <row r="219" spans="1:18" ht="31.5" outlineLevel="3">
      <c r="A219" s="10" t="s">
        <v>126</v>
      </c>
      <c r="B219" s="10" t="s">
        <v>9</v>
      </c>
      <c r="C219" s="10" t="s">
        <v>7</v>
      </c>
      <c r="D219" s="10" t="s">
        <v>20</v>
      </c>
      <c r="E219" s="10" t="s">
        <v>18</v>
      </c>
      <c r="F219" s="11">
        <v>15492500</v>
      </c>
      <c r="G219" s="11">
        <v>61970000</v>
      </c>
      <c r="H219" s="11">
        <v>61970000</v>
      </c>
      <c r="I219" s="11">
        <v>15445819</v>
      </c>
      <c r="J219" s="16">
        <f t="shared" si="24"/>
        <v>24.924671615297726</v>
      </c>
      <c r="K219" s="16">
        <f t="shared" si="22"/>
        <v>99.6986864611909</v>
      </c>
      <c r="L219" s="2"/>
      <c r="M219" s="2"/>
      <c r="N219" s="2"/>
      <c r="O219" s="2"/>
      <c r="P219" s="2"/>
      <c r="Q219" s="2"/>
      <c r="R219" s="2"/>
    </row>
    <row r="220" spans="1:18" ht="15.75" outlineLevel="1">
      <c r="A220" s="18" t="s">
        <v>237</v>
      </c>
      <c r="B220" s="18" t="s">
        <v>9</v>
      </c>
      <c r="C220" s="18" t="s">
        <v>24</v>
      </c>
      <c r="D220" s="18"/>
      <c r="E220" s="18"/>
      <c r="F220" s="19">
        <f>F221</f>
        <v>1035668.8400000001</v>
      </c>
      <c r="G220" s="19">
        <f>G221</f>
        <v>19412500</v>
      </c>
      <c r="H220" s="19">
        <v>19412500</v>
      </c>
      <c r="I220" s="19">
        <v>1878914.47</v>
      </c>
      <c r="J220" s="20">
        <f t="shared" si="24"/>
        <v>9.678889735994849</v>
      </c>
      <c r="K220" s="20">
        <f t="shared" si="22"/>
        <v>181.42039206277556</v>
      </c>
      <c r="L220" s="2"/>
      <c r="M220" s="2"/>
      <c r="N220" s="2"/>
      <c r="O220" s="2"/>
      <c r="P220" s="2"/>
      <c r="Q220" s="2"/>
      <c r="R220" s="2"/>
    </row>
    <row r="221" spans="1:18" ht="63" outlineLevel="2">
      <c r="A221" s="18" t="s">
        <v>238</v>
      </c>
      <c r="B221" s="18" t="s">
        <v>9</v>
      </c>
      <c r="C221" s="18" t="s">
        <v>24</v>
      </c>
      <c r="D221" s="18" t="s">
        <v>29</v>
      </c>
      <c r="E221" s="18"/>
      <c r="F221" s="19">
        <f>F222+F226+F227</f>
        <v>1035668.8400000001</v>
      </c>
      <c r="G221" s="19">
        <f>G222+G223+G224+G225+G226+G227+G228</f>
        <v>19412500</v>
      </c>
      <c r="H221" s="19">
        <v>19412500</v>
      </c>
      <c r="I221" s="19">
        <v>1878914.47</v>
      </c>
      <c r="J221" s="20">
        <f t="shared" si="24"/>
        <v>9.678889735994849</v>
      </c>
      <c r="K221" s="20">
        <f t="shared" si="22"/>
        <v>181.42039206277556</v>
      </c>
      <c r="L221" s="2"/>
      <c r="M221" s="2"/>
      <c r="N221" s="2"/>
      <c r="O221" s="2"/>
      <c r="P221" s="2"/>
      <c r="Q221" s="2"/>
      <c r="R221" s="2"/>
    </row>
    <row r="222" spans="1:18" ht="15.75" outlineLevel="3">
      <c r="A222" s="10" t="s">
        <v>142</v>
      </c>
      <c r="B222" s="10" t="s">
        <v>9</v>
      </c>
      <c r="C222" s="10" t="s">
        <v>24</v>
      </c>
      <c r="D222" s="10" t="s">
        <v>29</v>
      </c>
      <c r="E222" s="10" t="s">
        <v>32</v>
      </c>
      <c r="F222" s="11">
        <v>523410</v>
      </c>
      <c r="G222" s="11">
        <v>1050000</v>
      </c>
      <c r="H222" s="11">
        <v>1050000</v>
      </c>
      <c r="I222" s="11">
        <v>410277.6</v>
      </c>
      <c r="J222" s="16">
        <f t="shared" si="24"/>
        <v>39.074057142857136</v>
      </c>
      <c r="K222" s="16">
        <f t="shared" si="22"/>
        <v>78.3855104029346</v>
      </c>
      <c r="L222" s="2"/>
      <c r="M222" s="2"/>
      <c r="N222" s="2"/>
      <c r="O222" s="2"/>
      <c r="P222" s="2"/>
      <c r="Q222" s="2"/>
      <c r="R222" s="2"/>
    </row>
    <row r="223" spans="1:18" ht="15.75" outlineLevel="3">
      <c r="A223" s="10" t="s">
        <v>120</v>
      </c>
      <c r="B223" s="10" t="s">
        <v>9</v>
      </c>
      <c r="C223" s="10" t="s">
        <v>24</v>
      </c>
      <c r="D223" s="10" t="s">
        <v>29</v>
      </c>
      <c r="E223" s="10" t="s">
        <v>11</v>
      </c>
      <c r="F223" s="11">
        <v>0</v>
      </c>
      <c r="G223" s="11">
        <v>1800000</v>
      </c>
      <c r="H223" s="11">
        <v>1800000</v>
      </c>
      <c r="I223" s="11">
        <v>0</v>
      </c>
      <c r="J223" s="16">
        <f t="shared" si="24"/>
        <v>0</v>
      </c>
      <c r="K223" s="16"/>
      <c r="L223" s="2"/>
      <c r="M223" s="2"/>
      <c r="N223" s="2"/>
      <c r="O223" s="2"/>
      <c r="P223" s="2"/>
      <c r="Q223" s="2"/>
      <c r="R223" s="2"/>
    </row>
    <row r="224" spans="1:18" ht="15.75" outlineLevel="3">
      <c r="A224" s="10" t="s">
        <v>161</v>
      </c>
      <c r="B224" s="10" t="s">
        <v>9</v>
      </c>
      <c r="C224" s="10" t="s">
        <v>24</v>
      </c>
      <c r="D224" s="10" t="s">
        <v>29</v>
      </c>
      <c r="E224" s="10" t="s">
        <v>45</v>
      </c>
      <c r="F224" s="11">
        <v>0</v>
      </c>
      <c r="G224" s="11">
        <v>50000</v>
      </c>
      <c r="H224" s="11">
        <v>50000</v>
      </c>
      <c r="I224" s="11">
        <v>0</v>
      </c>
      <c r="J224" s="16">
        <f aca="true" t="shared" si="25" ref="J224:J231">I224/H224*100</f>
        <v>0</v>
      </c>
      <c r="K224" s="16"/>
      <c r="L224" s="2"/>
      <c r="M224" s="2"/>
      <c r="N224" s="2"/>
      <c r="O224" s="2"/>
      <c r="P224" s="2"/>
      <c r="Q224" s="2"/>
      <c r="R224" s="2"/>
    </row>
    <row r="225" spans="1:18" ht="15.75" outlineLevel="3">
      <c r="A225" s="10" t="s">
        <v>169</v>
      </c>
      <c r="B225" s="10" t="s">
        <v>9</v>
      </c>
      <c r="C225" s="10" t="s">
        <v>24</v>
      </c>
      <c r="D225" s="10" t="s">
        <v>29</v>
      </c>
      <c r="E225" s="10" t="s">
        <v>47</v>
      </c>
      <c r="F225" s="11">
        <v>0</v>
      </c>
      <c r="G225" s="11">
        <v>3560000</v>
      </c>
      <c r="H225" s="11">
        <v>3560000</v>
      </c>
      <c r="I225" s="11">
        <v>0</v>
      </c>
      <c r="J225" s="16">
        <f t="shared" si="25"/>
        <v>0</v>
      </c>
      <c r="K225" s="16"/>
      <c r="L225" s="2"/>
      <c r="M225" s="2"/>
      <c r="N225" s="2"/>
      <c r="O225" s="2"/>
      <c r="P225" s="2"/>
      <c r="Q225" s="2"/>
      <c r="R225" s="2"/>
    </row>
    <row r="226" spans="1:18" ht="31.5" outlineLevel="3">
      <c r="A226" s="10" t="s">
        <v>121</v>
      </c>
      <c r="B226" s="10" t="s">
        <v>9</v>
      </c>
      <c r="C226" s="10" t="s">
        <v>24</v>
      </c>
      <c r="D226" s="10" t="s">
        <v>29</v>
      </c>
      <c r="E226" s="10" t="s">
        <v>12</v>
      </c>
      <c r="F226" s="11">
        <v>332258.84</v>
      </c>
      <c r="G226" s="11">
        <v>12010400</v>
      </c>
      <c r="H226" s="11">
        <v>12010400</v>
      </c>
      <c r="I226" s="11">
        <v>1468636.87</v>
      </c>
      <c r="J226" s="16">
        <f t="shared" si="25"/>
        <v>12.22804294611337</v>
      </c>
      <c r="K226" s="16">
        <f t="shared" si="22"/>
        <v>442.0158903823296</v>
      </c>
      <c r="L226" s="2"/>
      <c r="M226" s="2"/>
      <c r="N226" s="2"/>
      <c r="O226" s="2"/>
      <c r="P226" s="2"/>
      <c r="Q226" s="2"/>
      <c r="R226" s="2"/>
    </row>
    <row r="227" spans="1:18" ht="16.5" customHeight="1" outlineLevel="3">
      <c r="A227" s="10" t="s">
        <v>239</v>
      </c>
      <c r="B227" s="10" t="s">
        <v>9</v>
      </c>
      <c r="C227" s="10" t="s">
        <v>24</v>
      </c>
      <c r="D227" s="10" t="s">
        <v>29</v>
      </c>
      <c r="E227" s="10" t="s">
        <v>89</v>
      </c>
      <c r="F227" s="11">
        <v>180000</v>
      </c>
      <c r="G227" s="11">
        <v>31500</v>
      </c>
      <c r="H227" s="11">
        <v>31500</v>
      </c>
      <c r="I227" s="11">
        <v>0</v>
      </c>
      <c r="J227" s="16">
        <f t="shared" si="25"/>
        <v>0</v>
      </c>
      <c r="K227" s="16">
        <f t="shared" si="22"/>
        <v>0</v>
      </c>
      <c r="L227" s="2"/>
      <c r="M227" s="2"/>
      <c r="N227" s="2"/>
      <c r="O227" s="2"/>
      <c r="P227" s="2"/>
      <c r="Q227" s="2"/>
      <c r="R227" s="2"/>
    </row>
    <row r="228" spans="1:18" ht="31.5" outlineLevel="3">
      <c r="A228" s="10" t="s">
        <v>215</v>
      </c>
      <c r="B228" s="10" t="s">
        <v>9</v>
      </c>
      <c r="C228" s="10" t="s">
        <v>24</v>
      </c>
      <c r="D228" s="10" t="s">
        <v>29</v>
      </c>
      <c r="E228" s="10" t="s">
        <v>83</v>
      </c>
      <c r="F228" s="11">
        <v>0</v>
      </c>
      <c r="G228" s="11">
        <v>910600</v>
      </c>
      <c r="H228" s="11">
        <v>910600</v>
      </c>
      <c r="I228" s="11">
        <v>0</v>
      </c>
      <c r="J228" s="16">
        <f t="shared" si="25"/>
        <v>0</v>
      </c>
      <c r="K228" s="16"/>
      <c r="L228" s="2"/>
      <c r="M228" s="2"/>
      <c r="N228" s="2"/>
      <c r="O228" s="2"/>
      <c r="P228" s="2"/>
      <c r="Q228" s="2"/>
      <c r="R228" s="2"/>
    </row>
    <row r="229" spans="1:18" ht="47.25" outlineLevel="1">
      <c r="A229" s="18" t="s">
        <v>240</v>
      </c>
      <c r="B229" s="18" t="s">
        <v>9</v>
      </c>
      <c r="C229" s="18" t="s">
        <v>54</v>
      </c>
      <c r="D229" s="18"/>
      <c r="E229" s="18"/>
      <c r="F229" s="19">
        <f>F230</f>
        <v>361296899.9100001</v>
      </c>
      <c r="G229" s="19">
        <f>G230</f>
        <v>1585424382.18</v>
      </c>
      <c r="H229" s="19">
        <v>1585424382.18</v>
      </c>
      <c r="I229" s="19">
        <v>459115442.57</v>
      </c>
      <c r="J229" s="20">
        <f t="shared" si="25"/>
        <v>28.958520364036804</v>
      </c>
      <c r="K229" s="20">
        <f t="shared" si="22"/>
        <v>127.07428231030123</v>
      </c>
      <c r="L229" s="2"/>
      <c r="M229" s="2"/>
      <c r="N229" s="2"/>
      <c r="O229" s="2"/>
      <c r="P229" s="2"/>
      <c r="Q229" s="2"/>
      <c r="R229" s="2"/>
    </row>
    <row r="230" spans="1:18" ht="78.75" outlineLevel="2">
      <c r="A230" s="18" t="s">
        <v>241</v>
      </c>
      <c r="B230" s="18" t="s">
        <v>9</v>
      </c>
      <c r="C230" s="18" t="s">
        <v>54</v>
      </c>
      <c r="D230" s="18" t="s">
        <v>30</v>
      </c>
      <c r="E230" s="18"/>
      <c r="F230" s="19">
        <f>F231</f>
        <v>361296899.9100001</v>
      </c>
      <c r="G230" s="19">
        <f>G231</f>
        <v>1585424382.18</v>
      </c>
      <c r="H230" s="19">
        <v>1585424382.18</v>
      </c>
      <c r="I230" s="19">
        <v>459115442.57</v>
      </c>
      <c r="J230" s="20">
        <f t="shared" si="25"/>
        <v>28.958520364036804</v>
      </c>
      <c r="K230" s="20">
        <f t="shared" si="22"/>
        <v>127.07428231030123</v>
      </c>
      <c r="L230" s="2"/>
      <c r="M230" s="2"/>
      <c r="N230" s="2"/>
      <c r="O230" s="2"/>
      <c r="P230" s="2"/>
      <c r="Q230" s="2"/>
      <c r="R230" s="2"/>
    </row>
    <row r="231" spans="1:18" ht="31.5" outlineLevel="3">
      <c r="A231" s="10" t="s">
        <v>121</v>
      </c>
      <c r="B231" s="10" t="s">
        <v>9</v>
      </c>
      <c r="C231" s="10" t="s">
        <v>54</v>
      </c>
      <c r="D231" s="10" t="s">
        <v>30</v>
      </c>
      <c r="E231" s="10" t="s">
        <v>12</v>
      </c>
      <c r="F231" s="11">
        <f>86460123.35+15214860+172666081.6+876961.6+2475782.6+8462.5+12147.85+230592.7+29588706+48385936.79+2730089.91+50398.81+40246.5+2555162+1347.7</f>
        <v>361296899.9100001</v>
      </c>
      <c r="G231" s="11">
        <v>1585424382.18</v>
      </c>
      <c r="H231" s="11">
        <v>1585424382.18</v>
      </c>
      <c r="I231" s="11">
        <v>459115442.57</v>
      </c>
      <c r="J231" s="16">
        <f t="shared" si="25"/>
        <v>28.958520364036804</v>
      </c>
      <c r="K231" s="16">
        <f t="shared" si="22"/>
        <v>127.07428231030123</v>
      </c>
      <c r="L231" s="2"/>
      <c r="M231" s="2"/>
      <c r="N231" s="2"/>
      <c r="O231" s="2"/>
      <c r="P231" s="2"/>
      <c r="Q231" s="2"/>
      <c r="R231" s="2"/>
    </row>
    <row r="232" spans="1:18" ht="31.5" outlineLevel="1">
      <c r="A232" s="18" t="s">
        <v>242</v>
      </c>
      <c r="B232" s="18" t="s">
        <v>9</v>
      </c>
      <c r="C232" s="18" t="s">
        <v>56</v>
      </c>
      <c r="D232" s="18"/>
      <c r="E232" s="18"/>
      <c r="F232" s="19">
        <f>F233</f>
        <v>15901685.53</v>
      </c>
      <c r="G232" s="19">
        <f>G233</f>
        <v>54112176</v>
      </c>
      <c r="H232" s="19">
        <v>54112176</v>
      </c>
      <c r="I232" s="19">
        <v>12651600.2</v>
      </c>
      <c r="J232" s="20">
        <f aca="true" t="shared" si="26" ref="J232:J240">I232/H232*100</f>
        <v>23.38032054005738</v>
      </c>
      <c r="K232" s="20">
        <f t="shared" si="22"/>
        <v>79.56137842200178</v>
      </c>
      <c r="L232" s="2"/>
      <c r="M232" s="2"/>
      <c r="N232" s="2"/>
      <c r="O232" s="2"/>
      <c r="P232" s="2"/>
      <c r="Q232" s="2"/>
      <c r="R232" s="2"/>
    </row>
    <row r="233" spans="1:18" ht="47.25" outlineLevel="2">
      <c r="A233" s="18" t="s">
        <v>243</v>
      </c>
      <c r="B233" s="18" t="s">
        <v>9</v>
      </c>
      <c r="C233" s="18" t="s">
        <v>56</v>
      </c>
      <c r="D233" s="18" t="s">
        <v>61</v>
      </c>
      <c r="E233" s="18"/>
      <c r="F233" s="19">
        <f>F234</f>
        <v>15901685.53</v>
      </c>
      <c r="G233" s="19">
        <f>G234</f>
        <v>54112176</v>
      </c>
      <c r="H233" s="19">
        <v>54112176</v>
      </c>
      <c r="I233" s="19">
        <v>12651600.2</v>
      </c>
      <c r="J233" s="20">
        <f t="shared" si="26"/>
        <v>23.38032054005738</v>
      </c>
      <c r="K233" s="20">
        <f t="shared" si="22"/>
        <v>79.56137842200178</v>
      </c>
      <c r="L233" s="2"/>
      <c r="M233" s="2"/>
      <c r="N233" s="2"/>
      <c r="O233" s="2"/>
      <c r="P233" s="2"/>
      <c r="Q233" s="2"/>
      <c r="R233" s="2"/>
    </row>
    <row r="234" spans="1:18" ht="31.5" outlineLevel="3">
      <c r="A234" s="10" t="s">
        <v>244</v>
      </c>
      <c r="B234" s="10" t="s">
        <v>9</v>
      </c>
      <c r="C234" s="10" t="s">
        <v>56</v>
      </c>
      <c r="D234" s="10" t="s">
        <v>61</v>
      </c>
      <c r="E234" s="10" t="s">
        <v>90</v>
      </c>
      <c r="F234" s="11">
        <v>15901685.53</v>
      </c>
      <c r="G234" s="11">
        <v>54112176</v>
      </c>
      <c r="H234" s="11">
        <v>54112176</v>
      </c>
      <c r="I234" s="11">
        <v>12651600.2</v>
      </c>
      <c r="J234" s="16">
        <f t="shared" si="26"/>
        <v>23.38032054005738</v>
      </c>
      <c r="K234" s="16">
        <f t="shared" si="22"/>
        <v>79.56137842200178</v>
      </c>
      <c r="L234" s="2"/>
      <c r="M234" s="2"/>
      <c r="N234" s="2"/>
      <c r="O234" s="2"/>
      <c r="P234" s="2"/>
      <c r="Q234" s="2"/>
      <c r="R234" s="2"/>
    </row>
    <row r="235" spans="1:18" ht="63" outlineLevel="1">
      <c r="A235" s="18" t="s">
        <v>245</v>
      </c>
      <c r="B235" s="18" t="s">
        <v>9</v>
      </c>
      <c r="C235" s="18" t="s">
        <v>57</v>
      </c>
      <c r="D235" s="18"/>
      <c r="E235" s="18"/>
      <c r="F235" s="19">
        <f>F236</f>
        <v>0</v>
      </c>
      <c r="G235" s="19">
        <f>G236</f>
        <v>9000000</v>
      </c>
      <c r="H235" s="19">
        <v>9000000</v>
      </c>
      <c r="I235" s="19">
        <v>0</v>
      </c>
      <c r="J235" s="20">
        <f t="shared" si="26"/>
        <v>0</v>
      </c>
      <c r="K235" s="16"/>
      <c r="L235" s="2"/>
      <c r="M235" s="2"/>
      <c r="N235" s="2"/>
      <c r="O235" s="2"/>
      <c r="P235" s="2"/>
      <c r="Q235" s="2"/>
      <c r="R235" s="2"/>
    </row>
    <row r="236" spans="1:18" ht="78.75" outlineLevel="2">
      <c r="A236" s="18" t="s">
        <v>246</v>
      </c>
      <c r="B236" s="18" t="s">
        <v>9</v>
      </c>
      <c r="C236" s="18" t="s">
        <v>57</v>
      </c>
      <c r="D236" s="18" t="s">
        <v>91</v>
      </c>
      <c r="E236" s="18"/>
      <c r="F236" s="19">
        <f>F237</f>
        <v>0</v>
      </c>
      <c r="G236" s="19">
        <f>G237</f>
        <v>9000000</v>
      </c>
      <c r="H236" s="19">
        <v>9000000</v>
      </c>
      <c r="I236" s="19">
        <v>0</v>
      </c>
      <c r="J236" s="20">
        <f t="shared" si="26"/>
        <v>0</v>
      </c>
      <c r="K236" s="16"/>
      <c r="L236" s="2"/>
      <c r="M236" s="2"/>
      <c r="N236" s="2"/>
      <c r="O236" s="2"/>
      <c r="P236" s="2"/>
      <c r="Q236" s="2"/>
      <c r="R236" s="2"/>
    </row>
    <row r="237" spans="1:18" ht="31.5" outlineLevel="3">
      <c r="A237" s="10" t="s">
        <v>121</v>
      </c>
      <c r="B237" s="10" t="s">
        <v>9</v>
      </c>
      <c r="C237" s="10" t="s">
        <v>57</v>
      </c>
      <c r="D237" s="10" t="s">
        <v>91</v>
      </c>
      <c r="E237" s="10" t="s">
        <v>12</v>
      </c>
      <c r="F237" s="11">
        <v>0</v>
      </c>
      <c r="G237" s="11">
        <v>9000000</v>
      </c>
      <c r="H237" s="11">
        <v>9000000</v>
      </c>
      <c r="I237" s="11">
        <v>0</v>
      </c>
      <c r="J237" s="16">
        <f t="shared" si="26"/>
        <v>0</v>
      </c>
      <c r="K237" s="16"/>
      <c r="L237" s="2"/>
      <c r="M237" s="2"/>
      <c r="N237" s="2"/>
      <c r="O237" s="2"/>
      <c r="P237" s="2"/>
      <c r="Q237" s="2"/>
      <c r="R237" s="2"/>
    </row>
    <row r="238" spans="1:18" ht="31.5">
      <c r="A238" s="18" t="s">
        <v>92</v>
      </c>
      <c r="B238" s="18" t="s">
        <v>93</v>
      </c>
      <c r="C238" s="18"/>
      <c r="D238" s="18"/>
      <c r="E238" s="18"/>
      <c r="F238" s="19">
        <f>F239+F241+F243+F245</f>
        <v>84740694.78</v>
      </c>
      <c r="G238" s="19">
        <f>G239+G241+G243+G245</f>
        <v>283691095</v>
      </c>
      <c r="H238" s="19">
        <v>287241095</v>
      </c>
      <c r="I238" s="19">
        <v>95844943.37</v>
      </c>
      <c r="J238" s="20">
        <f t="shared" si="26"/>
        <v>33.36742027459546</v>
      </c>
      <c r="K238" s="20">
        <f t="shared" si="22"/>
        <v>113.10379696417212</v>
      </c>
      <c r="L238" s="2"/>
      <c r="M238" s="2"/>
      <c r="N238" s="2"/>
      <c r="O238" s="2"/>
      <c r="P238" s="2"/>
      <c r="Q238" s="2"/>
      <c r="R238" s="2"/>
    </row>
    <row r="239" spans="1:18" ht="47.25" outlineLevel="2">
      <c r="A239" s="18" t="s">
        <v>247</v>
      </c>
      <c r="B239" s="18" t="s">
        <v>93</v>
      </c>
      <c r="C239" s="18" t="s">
        <v>7</v>
      </c>
      <c r="D239" s="18" t="s">
        <v>16</v>
      </c>
      <c r="E239" s="18"/>
      <c r="F239" s="19">
        <f>F240</f>
        <v>8610590.05</v>
      </c>
      <c r="G239" s="19">
        <f>G240</f>
        <v>45554134</v>
      </c>
      <c r="H239" s="19">
        <v>49104134</v>
      </c>
      <c r="I239" s="19">
        <v>13076169.25</v>
      </c>
      <c r="J239" s="20">
        <f t="shared" si="26"/>
        <v>26.629467184982836</v>
      </c>
      <c r="K239" s="20">
        <f t="shared" si="22"/>
        <v>151.86147725149218</v>
      </c>
      <c r="L239" s="2"/>
      <c r="M239" s="2"/>
      <c r="N239" s="2"/>
      <c r="O239" s="2"/>
      <c r="P239" s="2"/>
      <c r="Q239" s="2"/>
      <c r="R239" s="2"/>
    </row>
    <row r="240" spans="1:18" ht="16.5" customHeight="1" outlineLevel="3">
      <c r="A240" s="10" t="s">
        <v>239</v>
      </c>
      <c r="B240" s="10" t="s">
        <v>93</v>
      </c>
      <c r="C240" s="10" t="s">
        <v>7</v>
      </c>
      <c r="D240" s="10" t="s">
        <v>16</v>
      </c>
      <c r="E240" s="10" t="s">
        <v>89</v>
      </c>
      <c r="F240" s="11">
        <f>1473066.91+316408+1952115.14+4869000</f>
        <v>8610590.05</v>
      </c>
      <c r="G240" s="11">
        <v>45554134</v>
      </c>
      <c r="H240" s="11">
        <v>49104134</v>
      </c>
      <c r="I240" s="11">
        <v>13076169.25</v>
      </c>
      <c r="J240" s="16">
        <f t="shared" si="26"/>
        <v>26.629467184982836</v>
      </c>
      <c r="K240" s="16">
        <f t="shared" si="22"/>
        <v>151.86147725149218</v>
      </c>
      <c r="L240" s="2"/>
      <c r="M240" s="2"/>
      <c r="N240" s="2"/>
      <c r="O240" s="2"/>
      <c r="P240" s="2"/>
      <c r="Q240" s="2"/>
      <c r="R240" s="2"/>
    </row>
    <row r="241" spans="1:18" ht="18" customHeight="1" outlineLevel="2">
      <c r="A241" s="18" t="s">
        <v>248</v>
      </c>
      <c r="B241" s="18" t="s">
        <v>93</v>
      </c>
      <c r="C241" s="18" t="s">
        <v>7</v>
      </c>
      <c r="D241" s="18" t="s">
        <v>17</v>
      </c>
      <c r="E241" s="18"/>
      <c r="F241" s="19">
        <f>F242</f>
        <v>24597369.13</v>
      </c>
      <c r="G241" s="19">
        <f>G242</f>
        <v>114941510</v>
      </c>
      <c r="H241" s="19">
        <v>114941510</v>
      </c>
      <c r="I241" s="19">
        <v>26654563.54</v>
      </c>
      <c r="J241" s="20">
        <f>I241/H241*100</f>
        <v>23.189675809896702</v>
      </c>
      <c r="K241" s="20">
        <f t="shared" si="22"/>
        <v>108.36347334191507</v>
      </c>
      <c r="L241" s="2"/>
      <c r="M241" s="2"/>
      <c r="N241" s="2"/>
      <c r="O241" s="2"/>
      <c r="P241" s="2"/>
      <c r="Q241" s="2"/>
      <c r="R241" s="2"/>
    </row>
    <row r="242" spans="1:18" ht="16.5" customHeight="1" outlineLevel="3">
      <c r="A242" s="10" t="s">
        <v>239</v>
      </c>
      <c r="B242" s="10" t="s">
        <v>93</v>
      </c>
      <c r="C242" s="10" t="s">
        <v>7</v>
      </c>
      <c r="D242" s="10" t="s">
        <v>17</v>
      </c>
      <c r="E242" s="10" t="s">
        <v>89</v>
      </c>
      <c r="F242" s="11">
        <f>21455809.13+3141560</f>
        <v>24597369.13</v>
      </c>
      <c r="G242" s="11">
        <v>114941510</v>
      </c>
      <c r="H242" s="11">
        <v>114941510</v>
      </c>
      <c r="I242" s="11">
        <v>26654563.54</v>
      </c>
      <c r="J242" s="16">
        <f>I242/H242*100</f>
        <v>23.189675809896702</v>
      </c>
      <c r="K242" s="16">
        <f t="shared" si="22"/>
        <v>108.36347334191507</v>
      </c>
      <c r="L242" s="2"/>
      <c r="M242" s="2"/>
      <c r="N242" s="2"/>
      <c r="O242" s="2"/>
      <c r="P242" s="2"/>
      <c r="Q242" s="2"/>
      <c r="R242" s="2"/>
    </row>
    <row r="243" spans="1:18" ht="47.25" outlineLevel="2">
      <c r="A243" s="18" t="s">
        <v>249</v>
      </c>
      <c r="B243" s="18" t="s">
        <v>93</v>
      </c>
      <c r="C243" s="18" t="s">
        <v>7</v>
      </c>
      <c r="D243" s="18" t="s">
        <v>38</v>
      </c>
      <c r="E243" s="18"/>
      <c r="F243" s="19">
        <f>F244</f>
        <v>10644778.93</v>
      </c>
      <c r="G243" s="19">
        <f>G244</f>
        <v>41991400</v>
      </c>
      <c r="H243" s="19">
        <v>41991400</v>
      </c>
      <c r="I243" s="19">
        <v>9803795.21</v>
      </c>
      <c r="J243" s="20">
        <f aca="true" t="shared" si="27" ref="J243:J253">I243/H243*100</f>
        <v>23.34715015455546</v>
      </c>
      <c r="K243" s="20">
        <f t="shared" si="22"/>
        <v>92.0995661297402</v>
      </c>
      <c r="L243" s="2"/>
      <c r="M243" s="2"/>
      <c r="N243" s="2"/>
      <c r="O243" s="2"/>
      <c r="P243" s="2"/>
      <c r="Q243" s="2"/>
      <c r="R243" s="2"/>
    </row>
    <row r="244" spans="1:18" ht="16.5" customHeight="1" outlineLevel="3">
      <c r="A244" s="10" t="s">
        <v>239</v>
      </c>
      <c r="B244" s="10" t="s">
        <v>93</v>
      </c>
      <c r="C244" s="10" t="s">
        <v>7</v>
      </c>
      <c r="D244" s="10" t="s">
        <v>38</v>
      </c>
      <c r="E244" s="10" t="s">
        <v>89</v>
      </c>
      <c r="F244" s="11">
        <f>10602778.93+42000</f>
        <v>10644778.93</v>
      </c>
      <c r="G244" s="11">
        <v>41991400</v>
      </c>
      <c r="H244" s="11">
        <v>41991400</v>
      </c>
      <c r="I244" s="11">
        <v>9803795.21</v>
      </c>
      <c r="J244" s="16">
        <f t="shared" si="27"/>
        <v>23.34715015455546</v>
      </c>
      <c r="K244" s="16">
        <f t="shared" si="22"/>
        <v>92.0995661297402</v>
      </c>
      <c r="L244" s="2"/>
      <c r="M244" s="2"/>
      <c r="N244" s="2"/>
      <c r="O244" s="2"/>
      <c r="P244" s="2"/>
      <c r="Q244" s="2"/>
      <c r="R244" s="2"/>
    </row>
    <row r="245" spans="1:18" ht="31.5" outlineLevel="2">
      <c r="A245" s="18" t="s">
        <v>250</v>
      </c>
      <c r="B245" s="18" t="s">
        <v>93</v>
      </c>
      <c r="C245" s="18" t="s">
        <v>7</v>
      </c>
      <c r="D245" s="18" t="s">
        <v>37</v>
      </c>
      <c r="E245" s="18"/>
      <c r="F245" s="19">
        <f>F246</f>
        <v>40887956.67</v>
      </c>
      <c r="G245" s="19">
        <f>G246+G247</f>
        <v>81204051</v>
      </c>
      <c r="H245" s="19">
        <v>81204051</v>
      </c>
      <c r="I245" s="19">
        <v>46310415.37</v>
      </c>
      <c r="J245" s="20">
        <f t="shared" si="27"/>
        <v>57.02968608056265</v>
      </c>
      <c r="K245" s="20">
        <f t="shared" si="22"/>
        <v>113.26175026001854</v>
      </c>
      <c r="L245" s="2"/>
      <c r="M245" s="2"/>
      <c r="N245" s="2"/>
      <c r="O245" s="2"/>
      <c r="P245" s="2"/>
      <c r="Q245" s="2"/>
      <c r="R245" s="2"/>
    </row>
    <row r="246" spans="1:18" ht="16.5" customHeight="1" outlineLevel="3">
      <c r="A246" s="10" t="s">
        <v>129</v>
      </c>
      <c r="B246" s="10" t="s">
        <v>93</v>
      </c>
      <c r="C246" s="10" t="s">
        <v>7</v>
      </c>
      <c r="D246" s="10" t="s">
        <v>37</v>
      </c>
      <c r="E246" s="10" t="s">
        <v>21</v>
      </c>
      <c r="F246" s="11">
        <f>39392956.67+1495000</f>
        <v>40887956.67</v>
      </c>
      <c r="G246" s="11">
        <v>81104051</v>
      </c>
      <c r="H246" s="11">
        <v>81104051</v>
      </c>
      <c r="I246" s="11">
        <v>46310415.37</v>
      </c>
      <c r="J246" s="16">
        <f t="shared" si="27"/>
        <v>57.100002772981085</v>
      </c>
      <c r="K246" s="16">
        <f t="shared" si="22"/>
        <v>113.26175026001854</v>
      </c>
      <c r="L246" s="2"/>
      <c r="M246" s="2"/>
      <c r="N246" s="2"/>
      <c r="O246" s="2"/>
      <c r="P246" s="2"/>
      <c r="Q246" s="2"/>
      <c r="R246" s="2"/>
    </row>
    <row r="247" spans="1:18" ht="16.5" customHeight="1" outlineLevel="3">
      <c r="A247" s="10" t="s">
        <v>239</v>
      </c>
      <c r="B247" s="10" t="s">
        <v>93</v>
      </c>
      <c r="C247" s="10" t="s">
        <v>7</v>
      </c>
      <c r="D247" s="10" t="s">
        <v>37</v>
      </c>
      <c r="E247" s="10" t="s">
        <v>89</v>
      </c>
      <c r="F247" s="11">
        <v>0</v>
      </c>
      <c r="G247" s="11">
        <v>100000</v>
      </c>
      <c r="H247" s="11">
        <v>100000</v>
      </c>
      <c r="I247" s="11">
        <v>0</v>
      </c>
      <c r="J247" s="16">
        <f t="shared" si="27"/>
        <v>0</v>
      </c>
      <c r="K247" s="16"/>
      <c r="L247" s="2"/>
      <c r="M247" s="2"/>
      <c r="N247" s="2"/>
      <c r="O247" s="2"/>
      <c r="P247" s="2"/>
      <c r="Q247" s="2"/>
      <c r="R247" s="2"/>
    </row>
    <row r="248" spans="1:18" ht="31.5">
      <c r="A248" s="18" t="s">
        <v>94</v>
      </c>
      <c r="B248" s="18" t="s">
        <v>95</v>
      </c>
      <c r="C248" s="18"/>
      <c r="D248" s="18"/>
      <c r="E248" s="18"/>
      <c r="F248" s="19">
        <f>F249</f>
        <v>27294198.7</v>
      </c>
      <c r="G248" s="19">
        <f>G249</f>
        <v>145763720</v>
      </c>
      <c r="H248" s="19">
        <v>145763720</v>
      </c>
      <c r="I248" s="19">
        <v>34256788.17</v>
      </c>
      <c r="J248" s="20">
        <f t="shared" si="27"/>
        <v>23.50158748006706</v>
      </c>
      <c r="K248" s="20">
        <f t="shared" si="22"/>
        <v>125.50941152927125</v>
      </c>
      <c r="L248" s="2"/>
      <c r="M248" s="2"/>
      <c r="N248" s="2"/>
      <c r="O248" s="2"/>
      <c r="P248" s="2"/>
      <c r="Q248" s="2"/>
      <c r="R248" s="2"/>
    </row>
    <row r="249" spans="1:18" ht="33" customHeight="1" outlineLevel="2">
      <c r="A249" s="18" t="s">
        <v>251</v>
      </c>
      <c r="B249" s="18" t="s">
        <v>95</v>
      </c>
      <c r="C249" s="18" t="s">
        <v>7</v>
      </c>
      <c r="D249" s="18" t="s">
        <v>16</v>
      </c>
      <c r="E249" s="18"/>
      <c r="F249" s="19">
        <f>F250</f>
        <v>27294198.7</v>
      </c>
      <c r="G249" s="19">
        <f>G250</f>
        <v>145763720</v>
      </c>
      <c r="H249" s="19">
        <v>145763720</v>
      </c>
      <c r="I249" s="19">
        <v>34256788.17</v>
      </c>
      <c r="J249" s="20">
        <f t="shared" si="27"/>
        <v>23.50158748006706</v>
      </c>
      <c r="K249" s="20">
        <f t="shared" si="22"/>
        <v>125.50941152927125</v>
      </c>
      <c r="L249" s="2"/>
      <c r="M249" s="2"/>
      <c r="N249" s="2"/>
      <c r="O249" s="2"/>
      <c r="P249" s="2"/>
      <c r="Q249" s="2"/>
      <c r="R249" s="2"/>
    </row>
    <row r="250" spans="1:18" ht="15.75" outlineLevel="3">
      <c r="A250" s="10" t="s">
        <v>252</v>
      </c>
      <c r="B250" s="10" t="s">
        <v>95</v>
      </c>
      <c r="C250" s="10" t="s">
        <v>7</v>
      </c>
      <c r="D250" s="10" t="s">
        <v>16</v>
      </c>
      <c r="E250" s="10" t="s">
        <v>23</v>
      </c>
      <c r="F250" s="11">
        <v>27294198.7</v>
      </c>
      <c r="G250" s="11">
        <v>145763720</v>
      </c>
      <c r="H250" s="11">
        <v>145763720</v>
      </c>
      <c r="I250" s="11">
        <v>34256788.17</v>
      </c>
      <c r="J250" s="16">
        <f t="shared" si="27"/>
        <v>23.50158748006706</v>
      </c>
      <c r="K250" s="16">
        <f t="shared" si="22"/>
        <v>125.50941152927125</v>
      </c>
      <c r="L250" s="2"/>
      <c r="M250" s="2"/>
      <c r="N250" s="2"/>
      <c r="O250" s="2"/>
      <c r="P250" s="2"/>
      <c r="Q250" s="2"/>
      <c r="R250" s="2"/>
    </row>
    <row r="251" spans="1:18" ht="47.25">
      <c r="A251" s="18" t="s">
        <v>96</v>
      </c>
      <c r="B251" s="18" t="s">
        <v>19</v>
      </c>
      <c r="C251" s="18"/>
      <c r="D251" s="18"/>
      <c r="E251" s="18"/>
      <c r="F251" s="19">
        <f>F252+F254+F256+F258</f>
        <v>106657049.05</v>
      </c>
      <c r="G251" s="19">
        <f>G252+G254+G256+G258+G261</f>
        <v>510623075</v>
      </c>
      <c r="H251" s="19">
        <v>510623075</v>
      </c>
      <c r="I251" s="19">
        <v>141376282.25</v>
      </c>
      <c r="J251" s="20">
        <f t="shared" si="27"/>
        <v>27.68701399755583</v>
      </c>
      <c r="K251" s="20">
        <f t="shared" si="22"/>
        <v>132.55221620066</v>
      </c>
      <c r="L251" s="2"/>
      <c r="M251" s="2"/>
      <c r="N251" s="2"/>
      <c r="O251" s="2"/>
      <c r="P251" s="2"/>
      <c r="Q251" s="2"/>
      <c r="R251" s="2"/>
    </row>
    <row r="252" spans="1:18" ht="65.25" customHeight="1" outlineLevel="2">
      <c r="A252" s="18" t="s">
        <v>253</v>
      </c>
      <c r="B252" s="18" t="s">
        <v>19</v>
      </c>
      <c r="C252" s="18" t="s">
        <v>7</v>
      </c>
      <c r="D252" s="18" t="s">
        <v>16</v>
      </c>
      <c r="E252" s="18"/>
      <c r="F252" s="19">
        <f>F253</f>
        <v>7043139.2</v>
      </c>
      <c r="G252" s="19">
        <f>G253</f>
        <v>32512263</v>
      </c>
      <c r="H252" s="19">
        <v>32512263</v>
      </c>
      <c r="I252" s="19">
        <v>10933220.39</v>
      </c>
      <c r="J252" s="20">
        <f t="shared" si="27"/>
        <v>33.62798950660555</v>
      </c>
      <c r="K252" s="20">
        <f t="shared" si="22"/>
        <v>155.23220654221913</v>
      </c>
      <c r="L252" s="2"/>
      <c r="M252" s="2"/>
      <c r="N252" s="2"/>
      <c r="O252" s="2"/>
      <c r="P252" s="2"/>
      <c r="Q252" s="2"/>
      <c r="R252" s="2"/>
    </row>
    <row r="253" spans="1:18" ht="31.5" outlineLevel="3">
      <c r="A253" s="10" t="s">
        <v>215</v>
      </c>
      <c r="B253" s="10" t="s">
        <v>19</v>
      </c>
      <c r="C253" s="10" t="s">
        <v>7</v>
      </c>
      <c r="D253" s="10" t="s">
        <v>16</v>
      </c>
      <c r="E253" s="10" t="s">
        <v>83</v>
      </c>
      <c r="F253" s="11">
        <f>7043139.2</f>
        <v>7043139.2</v>
      </c>
      <c r="G253" s="11">
        <v>32512263</v>
      </c>
      <c r="H253" s="11">
        <v>32512263</v>
      </c>
      <c r="I253" s="11">
        <v>10933220.39</v>
      </c>
      <c r="J253" s="16">
        <f t="shared" si="27"/>
        <v>33.62798950660555</v>
      </c>
      <c r="K253" s="16">
        <f t="shared" si="22"/>
        <v>155.23220654221913</v>
      </c>
      <c r="L253" s="2"/>
      <c r="M253" s="2"/>
      <c r="N253" s="2"/>
      <c r="O253" s="2"/>
      <c r="P253" s="2"/>
      <c r="Q253" s="2"/>
      <c r="R253" s="2"/>
    </row>
    <row r="254" spans="1:18" ht="15.75" outlineLevel="2">
      <c r="A254" s="18" t="s">
        <v>254</v>
      </c>
      <c r="B254" s="18" t="s">
        <v>19</v>
      </c>
      <c r="C254" s="18" t="s">
        <v>7</v>
      </c>
      <c r="D254" s="18" t="s">
        <v>9</v>
      </c>
      <c r="E254" s="18"/>
      <c r="F254" s="19">
        <f>F255</f>
        <v>25282813.41</v>
      </c>
      <c r="G254" s="19">
        <f>G255</f>
        <v>139158484</v>
      </c>
      <c r="H254" s="19">
        <v>139158484</v>
      </c>
      <c r="I254" s="19">
        <v>33262143.39</v>
      </c>
      <c r="J254" s="20">
        <f aca="true" t="shared" si="28" ref="J254:J266">I254/H254*100</f>
        <v>23.90234675882212</v>
      </c>
      <c r="K254" s="20">
        <f t="shared" si="22"/>
        <v>131.56029295712784</v>
      </c>
      <c r="L254" s="2"/>
      <c r="M254" s="2"/>
      <c r="N254" s="2"/>
      <c r="O254" s="2"/>
      <c r="P254" s="2"/>
      <c r="Q254" s="2"/>
      <c r="R254" s="2"/>
    </row>
    <row r="255" spans="1:18" ht="31.5" outlineLevel="3">
      <c r="A255" s="10" t="s">
        <v>215</v>
      </c>
      <c r="B255" s="10" t="s">
        <v>19</v>
      </c>
      <c r="C255" s="10" t="s">
        <v>7</v>
      </c>
      <c r="D255" s="10" t="s">
        <v>9</v>
      </c>
      <c r="E255" s="10" t="s">
        <v>83</v>
      </c>
      <c r="F255" s="11">
        <f>450801.16+24145951.11+687563.12-1501.98</f>
        <v>25282813.41</v>
      </c>
      <c r="G255" s="11">
        <v>139158484</v>
      </c>
      <c r="H255" s="11">
        <v>139158484</v>
      </c>
      <c r="I255" s="11">
        <v>33262143.39</v>
      </c>
      <c r="J255" s="16">
        <f t="shared" si="28"/>
        <v>23.90234675882212</v>
      </c>
      <c r="K255" s="16">
        <f t="shared" si="22"/>
        <v>131.56029295712784</v>
      </c>
      <c r="L255" s="2"/>
      <c r="M255" s="2"/>
      <c r="N255" s="2"/>
      <c r="O255" s="2"/>
      <c r="P255" s="2"/>
      <c r="Q255" s="2"/>
      <c r="R255" s="2"/>
    </row>
    <row r="256" spans="1:18" ht="15.75" outlineLevel="2">
      <c r="A256" s="18" t="s">
        <v>255</v>
      </c>
      <c r="B256" s="18" t="s">
        <v>19</v>
      </c>
      <c r="C256" s="18" t="s">
        <v>7</v>
      </c>
      <c r="D256" s="18" t="s">
        <v>25</v>
      </c>
      <c r="E256" s="18"/>
      <c r="F256" s="19">
        <f>F257</f>
        <v>72404673.45</v>
      </c>
      <c r="G256" s="19">
        <f>G257</f>
        <v>332273600</v>
      </c>
      <c r="H256" s="19">
        <v>332273600</v>
      </c>
      <c r="I256" s="19">
        <v>95938022.07</v>
      </c>
      <c r="J256" s="20">
        <f t="shared" si="28"/>
        <v>28.873200299391826</v>
      </c>
      <c r="K256" s="20">
        <f t="shared" si="22"/>
        <v>132.50252711415274</v>
      </c>
      <c r="L256" s="2"/>
      <c r="M256" s="2"/>
      <c r="N256" s="2"/>
      <c r="O256" s="2"/>
      <c r="P256" s="2"/>
      <c r="Q256" s="2"/>
      <c r="R256" s="2"/>
    </row>
    <row r="257" spans="1:18" ht="31.5" outlineLevel="3">
      <c r="A257" s="10" t="s">
        <v>215</v>
      </c>
      <c r="B257" s="10" t="s">
        <v>19</v>
      </c>
      <c r="C257" s="10" t="s">
        <v>7</v>
      </c>
      <c r="D257" s="10" t="s">
        <v>25</v>
      </c>
      <c r="E257" s="10" t="s">
        <v>83</v>
      </c>
      <c r="F257" s="11">
        <v>72404673.45</v>
      </c>
      <c r="G257" s="11">
        <v>332273600</v>
      </c>
      <c r="H257" s="11">
        <v>332273600</v>
      </c>
      <c r="I257" s="11">
        <v>95938022.07</v>
      </c>
      <c r="J257" s="16">
        <f t="shared" si="28"/>
        <v>28.873200299391826</v>
      </c>
      <c r="K257" s="16">
        <f t="shared" si="22"/>
        <v>132.50252711415274</v>
      </c>
      <c r="L257" s="2"/>
      <c r="M257" s="2"/>
      <c r="N257" s="2"/>
      <c r="O257" s="2"/>
      <c r="P257" s="2"/>
      <c r="Q257" s="2"/>
      <c r="R257" s="2"/>
    </row>
    <row r="258" spans="1:18" ht="31.5" outlineLevel="1">
      <c r="A258" s="18" t="s">
        <v>256</v>
      </c>
      <c r="B258" s="18" t="s">
        <v>19</v>
      </c>
      <c r="C258" s="18" t="s">
        <v>24</v>
      </c>
      <c r="D258" s="18"/>
      <c r="E258" s="18"/>
      <c r="F258" s="19">
        <f>F259</f>
        <v>1926422.99</v>
      </c>
      <c r="G258" s="19">
        <f>G259</f>
        <v>6462728</v>
      </c>
      <c r="H258" s="19">
        <v>6462728</v>
      </c>
      <c r="I258" s="19">
        <v>1242896.4</v>
      </c>
      <c r="J258" s="20">
        <f t="shared" si="28"/>
        <v>19.2317609529598</v>
      </c>
      <c r="K258" s="20">
        <f t="shared" si="22"/>
        <v>64.51835378065125</v>
      </c>
      <c r="L258" s="2"/>
      <c r="M258" s="2"/>
      <c r="N258" s="2"/>
      <c r="O258" s="2"/>
      <c r="P258" s="2"/>
      <c r="Q258" s="2"/>
      <c r="R258" s="2"/>
    </row>
    <row r="259" spans="1:18" ht="126" outlineLevel="2">
      <c r="A259" s="18" t="s">
        <v>257</v>
      </c>
      <c r="B259" s="18" t="s">
        <v>19</v>
      </c>
      <c r="C259" s="18" t="s">
        <v>24</v>
      </c>
      <c r="D259" s="18" t="s">
        <v>13</v>
      </c>
      <c r="E259" s="18"/>
      <c r="F259" s="19">
        <f>F260</f>
        <v>1926422.99</v>
      </c>
      <c r="G259" s="19">
        <f>G260</f>
        <v>6462728</v>
      </c>
      <c r="H259" s="19">
        <v>6462728</v>
      </c>
      <c r="I259" s="19">
        <v>1242896.4</v>
      </c>
      <c r="J259" s="20">
        <f t="shared" si="28"/>
        <v>19.2317609529598</v>
      </c>
      <c r="K259" s="20">
        <f t="shared" si="22"/>
        <v>64.51835378065125</v>
      </c>
      <c r="L259" s="2"/>
      <c r="M259" s="2"/>
      <c r="N259" s="2"/>
      <c r="O259" s="2"/>
      <c r="P259" s="2"/>
      <c r="Q259" s="2"/>
      <c r="R259" s="2"/>
    </row>
    <row r="260" spans="1:18" ht="31.5" outlineLevel="3">
      <c r="A260" s="10" t="s">
        <v>215</v>
      </c>
      <c r="B260" s="10" t="s">
        <v>19</v>
      </c>
      <c r="C260" s="10" t="s">
        <v>24</v>
      </c>
      <c r="D260" s="10" t="s">
        <v>13</v>
      </c>
      <c r="E260" s="10" t="s">
        <v>83</v>
      </c>
      <c r="F260" s="11">
        <v>1926422.99</v>
      </c>
      <c r="G260" s="11">
        <v>6462728</v>
      </c>
      <c r="H260" s="11">
        <v>6462728</v>
      </c>
      <c r="I260" s="11">
        <v>1242896.4</v>
      </c>
      <c r="J260" s="16">
        <f t="shared" si="28"/>
        <v>19.2317609529598</v>
      </c>
      <c r="K260" s="16">
        <f t="shared" si="22"/>
        <v>64.51835378065125</v>
      </c>
      <c r="L260" s="2"/>
      <c r="M260" s="2"/>
      <c r="N260" s="2"/>
      <c r="O260" s="2"/>
      <c r="P260" s="2"/>
      <c r="Q260" s="2"/>
      <c r="R260" s="2"/>
    </row>
    <row r="261" spans="1:18" ht="47.25" outlineLevel="1">
      <c r="A261" s="18" t="s">
        <v>258</v>
      </c>
      <c r="B261" s="18" t="s">
        <v>19</v>
      </c>
      <c r="C261" s="18" t="s">
        <v>54</v>
      </c>
      <c r="D261" s="18"/>
      <c r="E261" s="18"/>
      <c r="F261" s="19">
        <f>F262</f>
        <v>0</v>
      </c>
      <c r="G261" s="19">
        <f>G262</f>
        <v>216000</v>
      </c>
      <c r="H261" s="19">
        <v>216000</v>
      </c>
      <c r="I261" s="19">
        <v>0</v>
      </c>
      <c r="J261" s="20">
        <f t="shared" si="28"/>
        <v>0</v>
      </c>
      <c r="K261" s="16"/>
      <c r="L261" s="2"/>
      <c r="M261" s="2"/>
      <c r="N261" s="2"/>
      <c r="O261" s="2"/>
      <c r="P261" s="2"/>
      <c r="Q261" s="2"/>
      <c r="R261" s="2"/>
    </row>
    <row r="262" spans="1:18" ht="78.75" outlineLevel="2">
      <c r="A262" s="18" t="s">
        <v>259</v>
      </c>
      <c r="B262" s="18" t="s">
        <v>19</v>
      </c>
      <c r="C262" s="18" t="s">
        <v>54</v>
      </c>
      <c r="D262" s="18" t="s">
        <v>29</v>
      </c>
      <c r="E262" s="18"/>
      <c r="F262" s="19">
        <f>F263</f>
        <v>0</v>
      </c>
      <c r="G262" s="19">
        <f>G263</f>
        <v>216000</v>
      </c>
      <c r="H262" s="19">
        <v>216000</v>
      </c>
      <c r="I262" s="19">
        <v>0</v>
      </c>
      <c r="J262" s="20">
        <f t="shared" si="28"/>
        <v>0</v>
      </c>
      <c r="K262" s="16"/>
      <c r="L262" s="2"/>
      <c r="M262" s="2"/>
      <c r="N262" s="2"/>
      <c r="O262" s="2"/>
      <c r="P262" s="2"/>
      <c r="Q262" s="2"/>
      <c r="R262" s="2"/>
    </row>
    <row r="263" spans="1:18" ht="31.5" outlineLevel="3">
      <c r="A263" s="10" t="s">
        <v>215</v>
      </c>
      <c r="B263" s="10" t="s">
        <v>19</v>
      </c>
      <c r="C263" s="10" t="s">
        <v>54</v>
      </c>
      <c r="D263" s="10" t="s">
        <v>29</v>
      </c>
      <c r="E263" s="10" t="s">
        <v>83</v>
      </c>
      <c r="F263" s="11">
        <v>0</v>
      </c>
      <c r="G263" s="11">
        <v>216000</v>
      </c>
      <c r="H263" s="11">
        <v>216000</v>
      </c>
      <c r="I263" s="11">
        <v>0</v>
      </c>
      <c r="J263" s="16">
        <f t="shared" si="28"/>
        <v>0</v>
      </c>
      <c r="K263" s="16"/>
      <c r="L263" s="2"/>
      <c r="M263" s="2"/>
      <c r="N263" s="2"/>
      <c r="O263" s="2"/>
      <c r="P263" s="2"/>
      <c r="Q263" s="2"/>
      <c r="R263" s="2"/>
    </row>
    <row r="264" spans="1:18" ht="31.5">
      <c r="A264" s="18" t="s">
        <v>97</v>
      </c>
      <c r="B264" s="18" t="s">
        <v>98</v>
      </c>
      <c r="C264" s="18"/>
      <c r="D264" s="18"/>
      <c r="E264" s="18"/>
      <c r="F264" s="19">
        <f>F265+F269</f>
        <v>48187762.42</v>
      </c>
      <c r="G264" s="19">
        <f>G265+G267+G269</f>
        <v>287897486</v>
      </c>
      <c r="H264" s="19">
        <v>287897486</v>
      </c>
      <c r="I264" s="19">
        <v>55720203.84</v>
      </c>
      <c r="J264" s="20">
        <f t="shared" si="28"/>
        <v>19.354182148016395</v>
      </c>
      <c r="K264" s="20">
        <f aca="true" t="shared" si="29" ref="K264:K314">I264/F264*100</f>
        <v>115.63144051875236</v>
      </c>
      <c r="L264" s="2"/>
      <c r="M264" s="2"/>
      <c r="N264" s="2"/>
      <c r="O264" s="2"/>
      <c r="P264" s="2"/>
      <c r="Q264" s="2"/>
      <c r="R264" s="2"/>
    </row>
    <row r="265" spans="1:18" ht="15.75" outlineLevel="2">
      <c r="A265" s="18" t="s">
        <v>260</v>
      </c>
      <c r="B265" s="18" t="s">
        <v>98</v>
      </c>
      <c r="C265" s="18" t="s">
        <v>7</v>
      </c>
      <c r="D265" s="18" t="s">
        <v>16</v>
      </c>
      <c r="E265" s="18"/>
      <c r="F265" s="19">
        <f>F266</f>
        <v>36991049.5</v>
      </c>
      <c r="G265" s="19">
        <f>G266</f>
        <v>222878100</v>
      </c>
      <c r="H265" s="19">
        <v>222878100</v>
      </c>
      <c r="I265" s="19">
        <v>43878601.35</v>
      </c>
      <c r="J265" s="20">
        <f t="shared" si="28"/>
        <v>19.68726463030688</v>
      </c>
      <c r="K265" s="20">
        <f t="shared" si="29"/>
        <v>118.61950915991177</v>
      </c>
      <c r="L265" s="2"/>
      <c r="M265" s="2"/>
      <c r="N265" s="2"/>
      <c r="O265" s="2"/>
      <c r="P265" s="2"/>
      <c r="Q265" s="2"/>
      <c r="R265" s="2"/>
    </row>
    <row r="266" spans="1:18" ht="15.75" outlineLevel="3">
      <c r="A266" s="10" t="s">
        <v>261</v>
      </c>
      <c r="B266" s="10" t="s">
        <v>98</v>
      </c>
      <c r="C266" s="10" t="s">
        <v>7</v>
      </c>
      <c r="D266" s="10" t="s">
        <v>16</v>
      </c>
      <c r="E266" s="10" t="s">
        <v>99</v>
      </c>
      <c r="F266" s="11">
        <f>8756+36982293.5</f>
        <v>36991049.5</v>
      </c>
      <c r="G266" s="11">
        <v>222878100</v>
      </c>
      <c r="H266" s="11">
        <v>222878100</v>
      </c>
      <c r="I266" s="11">
        <v>43878601.35</v>
      </c>
      <c r="J266" s="16">
        <f t="shared" si="28"/>
        <v>19.68726463030688</v>
      </c>
      <c r="K266" s="16">
        <f t="shared" si="29"/>
        <v>118.61950915991177</v>
      </c>
      <c r="L266" s="2"/>
      <c r="M266" s="2"/>
      <c r="N266" s="2"/>
      <c r="O266" s="2"/>
      <c r="P266" s="2"/>
      <c r="Q266" s="2"/>
      <c r="R266" s="2"/>
    </row>
    <row r="267" spans="1:18" ht="31.5" outlineLevel="2">
      <c r="A267" s="18" t="s">
        <v>262</v>
      </c>
      <c r="B267" s="18" t="s">
        <v>98</v>
      </c>
      <c r="C267" s="18" t="s">
        <v>7</v>
      </c>
      <c r="D267" s="18" t="s">
        <v>17</v>
      </c>
      <c r="E267" s="18"/>
      <c r="F267" s="19">
        <f>F268</f>
        <v>0</v>
      </c>
      <c r="G267" s="19">
        <f>G268</f>
        <v>5202200</v>
      </c>
      <c r="H267" s="19">
        <v>5202200</v>
      </c>
      <c r="I267" s="19">
        <v>0</v>
      </c>
      <c r="J267" s="20">
        <f aca="true" t="shared" si="30" ref="J267:J273">I267/H267*100</f>
        <v>0</v>
      </c>
      <c r="K267" s="16"/>
      <c r="L267" s="2"/>
      <c r="M267" s="2"/>
      <c r="N267" s="2"/>
      <c r="O267" s="2"/>
      <c r="P267" s="2"/>
      <c r="Q267" s="2"/>
      <c r="R267" s="2"/>
    </row>
    <row r="268" spans="1:18" ht="15.75" outlineLevel="3">
      <c r="A268" s="10" t="s">
        <v>261</v>
      </c>
      <c r="B268" s="10" t="s">
        <v>98</v>
      </c>
      <c r="C268" s="10" t="s">
        <v>7</v>
      </c>
      <c r="D268" s="10" t="s">
        <v>17</v>
      </c>
      <c r="E268" s="10" t="s">
        <v>99</v>
      </c>
      <c r="F268" s="11">
        <v>0</v>
      </c>
      <c r="G268" s="11">
        <v>5202200</v>
      </c>
      <c r="H268" s="11">
        <v>5202200</v>
      </c>
      <c r="I268" s="11">
        <v>0</v>
      </c>
      <c r="J268" s="16">
        <f t="shared" si="30"/>
        <v>0</v>
      </c>
      <c r="K268" s="16"/>
      <c r="L268" s="2"/>
      <c r="M268" s="2"/>
      <c r="N268" s="2"/>
      <c r="O268" s="2"/>
      <c r="P268" s="2"/>
      <c r="Q268" s="2"/>
      <c r="R268" s="2"/>
    </row>
    <row r="269" spans="1:18" ht="48" customHeight="1" outlineLevel="2">
      <c r="A269" s="18" t="s">
        <v>263</v>
      </c>
      <c r="B269" s="18" t="s">
        <v>98</v>
      </c>
      <c r="C269" s="18" t="s">
        <v>7</v>
      </c>
      <c r="D269" s="18" t="s">
        <v>38</v>
      </c>
      <c r="E269" s="18"/>
      <c r="F269" s="19">
        <f>F270</f>
        <v>11196712.92</v>
      </c>
      <c r="G269" s="19">
        <f>G270</f>
        <v>59817186</v>
      </c>
      <c r="H269" s="19">
        <v>59817186</v>
      </c>
      <c r="I269" s="19">
        <v>11841602.49</v>
      </c>
      <c r="J269" s="20">
        <f t="shared" si="30"/>
        <v>19.79632156216777</v>
      </c>
      <c r="K269" s="20">
        <f t="shared" si="29"/>
        <v>105.75963297985496</v>
      </c>
      <c r="L269" s="2"/>
      <c r="M269" s="2"/>
      <c r="N269" s="2"/>
      <c r="O269" s="2"/>
      <c r="P269" s="2"/>
      <c r="Q269" s="2"/>
      <c r="R269" s="2"/>
    </row>
    <row r="270" spans="1:18" ht="15.75" outlineLevel="3">
      <c r="A270" s="10" t="s">
        <v>261</v>
      </c>
      <c r="B270" s="10" t="s">
        <v>98</v>
      </c>
      <c r="C270" s="10" t="s">
        <v>7</v>
      </c>
      <c r="D270" s="10" t="s">
        <v>38</v>
      </c>
      <c r="E270" s="10" t="s">
        <v>99</v>
      </c>
      <c r="F270" s="11">
        <f>11196712.92</f>
        <v>11196712.92</v>
      </c>
      <c r="G270" s="11">
        <v>59817186</v>
      </c>
      <c r="H270" s="11">
        <v>59817186</v>
      </c>
      <c r="I270" s="11">
        <v>11841602.49</v>
      </c>
      <c r="J270" s="16">
        <f t="shared" si="30"/>
        <v>19.79632156216777</v>
      </c>
      <c r="K270" s="16">
        <f t="shared" si="29"/>
        <v>105.75963297985496</v>
      </c>
      <c r="L270" s="2"/>
      <c r="M270" s="2"/>
      <c r="N270" s="2"/>
      <c r="O270" s="2"/>
      <c r="P270" s="2"/>
      <c r="Q270" s="2"/>
      <c r="R270" s="2"/>
    </row>
    <row r="271" spans="1:18" ht="31.5">
      <c r="A271" s="18" t="s">
        <v>100</v>
      </c>
      <c r="B271" s="18" t="s">
        <v>101</v>
      </c>
      <c r="C271" s="18"/>
      <c r="D271" s="18"/>
      <c r="E271" s="18"/>
      <c r="F271" s="19">
        <f>F272+F275+F277</f>
        <v>65998112.54000001</v>
      </c>
      <c r="G271" s="19">
        <f>G272+G275+G277+G279</f>
        <v>333109737.4</v>
      </c>
      <c r="H271" s="19">
        <v>333109737.4</v>
      </c>
      <c r="I271" s="19">
        <v>61355901.49</v>
      </c>
      <c r="J271" s="20">
        <f t="shared" si="30"/>
        <v>18.41912577185443</v>
      </c>
      <c r="K271" s="20">
        <f t="shared" si="29"/>
        <v>92.96614574062787</v>
      </c>
      <c r="L271" s="2"/>
      <c r="M271" s="2"/>
      <c r="N271" s="2"/>
      <c r="O271" s="2"/>
      <c r="P271" s="2"/>
      <c r="Q271" s="2"/>
      <c r="R271" s="2"/>
    </row>
    <row r="272" spans="1:18" ht="63.75" customHeight="1" outlineLevel="2">
      <c r="A272" s="18" t="s">
        <v>264</v>
      </c>
      <c r="B272" s="18" t="s">
        <v>101</v>
      </c>
      <c r="C272" s="18" t="s">
        <v>7</v>
      </c>
      <c r="D272" s="18" t="s">
        <v>16</v>
      </c>
      <c r="E272" s="18"/>
      <c r="F272" s="19">
        <f>F273+F274</f>
        <v>7829731.34</v>
      </c>
      <c r="G272" s="19">
        <f>G273+G274</f>
        <v>37463133</v>
      </c>
      <c r="H272" s="19">
        <v>37463133</v>
      </c>
      <c r="I272" s="19">
        <v>10854983.39</v>
      </c>
      <c r="J272" s="20">
        <f t="shared" si="30"/>
        <v>28.975108381885732</v>
      </c>
      <c r="K272" s="20">
        <f t="shared" si="29"/>
        <v>138.63800580927722</v>
      </c>
      <c r="L272" s="2"/>
      <c r="M272" s="2"/>
      <c r="N272" s="2"/>
      <c r="O272" s="2"/>
      <c r="P272" s="2"/>
      <c r="Q272" s="2"/>
      <c r="R272" s="2"/>
    </row>
    <row r="273" spans="1:18" ht="32.25" customHeight="1" outlineLevel="3">
      <c r="A273" s="10" t="s">
        <v>265</v>
      </c>
      <c r="B273" s="10" t="s">
        <v>101</v>
      </c>
      <c r="C273" s="10" t="s">
        <v>7</v>
      </c>
      <c r="D273" s="10" t="s">
        <v>16</v>
      </c>
      <c r="E273" s="10" t="s">
        <v>53</v>
      </c>
      <c r="F273" s="11">
        <v>4708185.03</v>
      </c>
      <c r="G273" s="11">
        <v>19742556</v>
      </c>
      <c r="H273" s="11">
        <v>19742556</v>
      </c>
      <c r="I273" s="11">
        <v>5893301.04</v>
      </c>
      <c r="J273" s="16">
        <f t="shared" si="30"/>
        <v>29.85075002446492</v>
      </c>
      <c r="K273" s="16">
        <f t="shared" si="29"/>
        <v>125.17139837216635</v>
      </c>
      <c r="L273" s="2"/>
      <c r="M273" s="2"/>
      <c r="N273" s="2"/>
      <c r="O273" s="2"/>
      <c r="P273" s="2"/>
      <c r="Q273" s="2"/>
      <c r="R273" s="2"/>
    </row>
    <row r="274" spans="1:18" ht="31.5" outlineLevel="3">
      <c r="A274" s="10" t="s">
        <v>126</v>
      </c>
      <c r="B274" s="10" t="s">
        <v>101</v>
      </c>
      <c r="C274" s="10" t="s">
        <v>7</v>
      </c>
      <c r="D274" s="10" t="s">
        <v>16</v>
      </c>
      <c r="E274" s="10" t="s">
        <v>18</v>
      </c>
      <c r="F274" s="11">
        <f>2745643.31+375903</f>
        <v>3121546.31</v>
      </c>
      <c r="G274" s="11">
        <v>17720577</v>
      </c>
      <c r="H274" s="11">
        <v>17720577</v>
      </c>
      <c r="I274" s="11">
        <v>4961682.35</v>
      </c>
      <c r="J274" s="16">
        <f aca="true" t="shared" si="31" ref="J274:J284">I274/H274*100</f>
        <v>27.999553005525723</v>
      </c>
      <c r="K274" s="16">
        <f t="shared" si="29"/>
        <v>158.9495031390388</v>
      </c>
      <c r="L274" s="2"/>
      <c r="M274" s="2"/>
      <c r="N274" s="2"/>
      <c r="O274" s="2"/>
      <c r="P274" s="2"/>
      <c r="Q274" s="2"/>
      <c r="R274" s="2"/>
    </row>
    <row r="275" spans="1:18" ht="31.5" outlineLevel="2">
      <c r="A275" s="18" t="s">
        <v>266</v>
      </c>
      <c r="B275" s="18" t="s">
        <v>101</v>
      </c>
      <c r="C275" s="18" t="s">
        <v>7</v>
      </c>
      <c r="D275" s="18" t="s">
        <v>13</v>
      </c>
      <c r="E275" s="18"/>
      <c r="F275" s="19">
        <f>F276</f>
        <v>53968381.2</v>
      </c>
      <c r="G275" s="19">
        <f>G276</f>
        <v>215188670.65</v>
      </c>
      <c r="H275" s="19">
        <v>215188670.65</v>
      </c>
      <c r="I275" s="19">
        <v>36543164.15</v>
      </c>
      <c r="J275" s="20">
        <f t="shared" si="31"/>
        <v>16.98191825787925</v>
      </c>
      <c r="K275" s="20">
        <f t="shared" si="29"/>
        <v>67.71217393861723</v>
      </c>
      <c r="L275" s="2"/>
      <c r="M275" s="2"/>
      <c r="N275" s="2"/>
      <c r="O275" s="2"/>
      <c r="P275" s="2"/>
      <c r="Q275" s="2"/>
      <c r="R275" s="2"/>
    </row>
    <row r="276" spans="1:18" ht="31.5" outlineLevel="3">
      <c r="A276" s="10" t="s">
        <v>126</v>
      </c>
      <c r="B276" s="10" t="s">
        <v>101</v>
      </c>
      <c r="C276" s="10" t="s">
        <v>7</v>
      </c>
      <c r="D276" s="10" t="s">
        <v>13</v>
      </c>
      <c r="E276" s="10" t="s">
        <v>18</v>
      </c>
      <c r="F276" s="11">
        <f>5562500+5256388.7+43149492.5</f>
        <v>53968381.2</v>
      </c>
      <c r="G276" s="11">
        <v>215188670.65</v>
      </c>
      <c r="H276" s="11">
        <v>215188670.65</v>
      </c>
      <c r="I276" s="11">
        <v>36543164.15</v>
      </c>
      <c r="J276" s="16">
        <f t="shared" si="31"/>
        <v>16.98191825787925</v>
      </c>
      <c r="K276" s="16">
        <f t="shared" si="29"/>
        <v>67.71217393861723</v>
      </c>
      <c r="L276" s="2"/>
      <c r="M276" s="2"/>
      <c r="N276" s="2"/>
      <c r="O276" s="2"/>
      <c r="P276" s="2"/>
      <c r="Q276" s="2"/>
      <c r="R276" s="2"/>
    </row>
    <row r="277" spans="1:18" ht="47.25" outlineLevel="2">
      <c r="A277" s="18" t="s">
        <v>267</v>
      </c>
      <c r="B277" s="18" t="s">
        <v>101</v>
      </c>
      <c r="C277" s="18" t="s">
        <v>7</v>
      </c>
      <c r="D277" s="18" t="s">
        <v>19</v>
      </c>
      <c r="E277" s="18"/>
      <c r="F277" s="19">
        <f>F278</f>
        <v>4200000</v>
      </c>
      <c r="G277" s="19">
        <f>G278</f>
        <v>12600000</v>
      </c>
      <c r="H277" s="19">
        <v>12600000</v>
      </c>
      <c r="I277" s="19">
        <v>4200000</v>
      </c>
      <c r="J277" s="20">
        <f t="shared" si="31"/>
        <v>33.33333333333333</v>
      </c>
      <c r="K277" s="20">
        <f t="shared" si="29"/>
        <v>100</v>
      </c>
      <c r="L277" s="2"/>
      <c r="M277" s="2"/>
      <c r="N277" s="2"/>
      <c r="O277" s="2"/>
      <c r="P277" s="2"/>
      <c r="Q277" s="2"/>
      <c r="R277" s="2"/>
    </row>
    <row r="278" spans="1:18" ht="31.5" outlineLevel="3">
      <c r="A278" s="10" t="s">
        <v>126</v>
      </c>
      <c r="B278" s="10" t="s">
        <v>101</v>
      </c>
      <c r="C278" s="10" t="s">
        <v>7</v>
      </c>
      <c r="D278" s="10" t="s">
        <v>19</v>
      </c>
      <c r="E278" s="10" t="s">
        <v>18</v>
      </c>
      <c r="F278" s="11">
        <v>4200000</v>
      </c>
      <c r="G278" s="11">
        <v>12600000</v>
      </c>
      <c r="H278" s="11">
        <v>12600000</v>
      </c>
      <c r="I278" s="11">
        <v>4200000</v>
      </c>
      <c r="J278" s="16">
        <f t="shared" si="31"/>
        <v>33.33333333333333</v>
      </c>
      <c r="K278" s="16">
        <f t="shared" si="29"/>
        <v>100</v>
      </c>
      <c r="L278" s="2"/>
      <c r="M278" s="2"/>
      <c r="N278" s="2"/>
      <c r="O278" s="2"/>
      <c r="P278" s="2"/>
      <c r="Q278" s="2"/>
      <c r="R278" s="2"/>
    </row>
    <row r="279" spans="1:18" ht="31.5" outlineLevel="2">
      <c r="A279" s="18" t="s">
        <v>268</v>
      </c>
      <c r="B279" s="18" t="s">
        <v>101</v>
      </c>
      <c r="C279" s="18" t="s">
        <v>7</v>
      </c>
      <c r="D279" s="18" t="s">
        <v>20</v>
      </c>
      <c r="E279" s="18"/>
      <c r="F279" s="19">
        <f>F280</f>
        <v>0</v>
      </c>
      <c r="G279" s="19">
        <f>G280</f>
        <v>67857933.75</v>
      </c>
      <c r="H279" s="19">
        <v>67857933.75</v>
      </c>
      <c r="I279" s="19">
        <v>9757753.95</v>
      </c>
      <c r="J279" s="20">
        <f t="shared" si="31"/>
        <v>14.379680327357447</v>
      </c>
      <c r="K279" s="16"/>
      <c r="L279" s="2"/>
      <c r="M279" s="2"/>
      <c r="N279" s="2"/>
      <c r="O279" s="2"/>
      <c r="P279" s="2"/>
      <c r="Q279" s="2"/>
      <c r="R279" s="2"/>
    </row>
    <row r="280" spans="1:18" ht="31.5" outlineLevel="3">
      <c r="A280" s="10" t="s">
        <v>126</v>
      </c>
      <c r="B280" s="10" t="s">
        <v>101</v>
      </c>
      <c r="C280" s="10" t="s">
        <v>7</v>
      </c>
      <c r="D280" s="10" t="s">
        <v>20</v>
      </c>
      <c r="E280" s="10" t="s">
        <v>18</v>
      </c>
      <c r="F280" s="11">
        <v>0</v>
      </c>
      <c r="G280" s="11">
        <v>67857933.75</v>
      </c>
      <c r="H280" s="11">
        <v>67857933.75</v>
      </c>
      <c r="I280" s="11">
        <v>9757753.95</v>
      </c>
      <c r="J280" s="16">
        <f t="shared" si="31"/>
        <v>14.379680327357447</v>
      </c>
      <c r="K280" s="16"/>
      <c r="L280" s="2"/>
      <c r="M280" s="2"/>
      <c r="N280" s="2"/>
      <c r="O280" s="2"/>
      <c r="P280" s="2"/>
      <c r="Q280" s="2"/>
      <c r="R280" s="2"/>
    </row>
    <row r="281" spans="1:18" ht="47.25">
      <c r="A281" s="18" t="s">
        <v>102</v>
      </c>
      <c r="B281" s="18" t="s">
        <v>103</v>
      </c>
      <c r="C281" s="18"/>
      <c r="D281" s="18"/>
      <c r="E281" s="18"/>
      <c r="F281" s="19">
        <f>F282+F287+F290+F293+F296+F300+F303</f>
        <v>64540074.89</v>
      </c>
      <c r="G281" s="19">
        <f>G282+G287+G290+G293+G296+G300+G303</f>
        <v>176522804.79</v>
      </c>
      <c r="H281" s="19">
        <v>176522804.79</v>
      </c>
      <c r="I281" s="19">
        <v>36795712.16</v>
      </c>
      <c r="J281" s="20">
        <f t="shared" si="31"/>
        <v>20.84473572906002</v>
      </c>
      <c r="K281" s="20">
        <f t="shared" si="29"/>
        <v>57.01219315706313</v>
      </c>
      <c r="L281" s="2"/>
      <c r="M281" s="2"/>
      <c r="N281" s="2"/>
      <c r="O281" s="2"/>
      <c r="P281" s="2"/>
      <c r="Q281" s="2"/>
      <c r="R281" s="2"/>
    </row>
    <row r="282" spans="1:18" ht="16.5" customHeight="1" outlineLevel="1">
      <c r="A282" s="18" t="s">
        <v>269</v>
      </c>
      <c r="B282" s="18" t="s">
        <v>103</v>
      </c>
      <c r="C282" s="18" t="s">
        <v>24</v>
      </c>
      <c r="D282" s="18"/>
      <c r="E282" s="18"/>
      <c r="F282" s="19">
        <f>F283+F285</f>
        <v>5616128.59</v>
      </c>
      <c r="G282" s="19">
        <f>G283+G285</f>
        <v>25767561</v>
      </c>
      <c r="H282" s="19">
        <v>25767561</v>
      </c>
      <c r="I282" s="19">
        <v>6804828.62</v>
      </c>
      <c r="J282" s="20">
        <f t="shared" si="31"/>
        <v>26.40850882239107</v>
      </c>
      <c r="K282" s="20">
        <f t="shared" si="29"/>
        <v>121.16582643988214</v>
      </c>
      <c r="L282" s="2"/>
      <c r="M282" s="2"/>
      <c r="N282" s="2"/>
      <c r="O282" s="2"/>
      <c r="P282" s="2"/>
      <c r="Q282" s="2"/>
      <c r="R282" s="2"/>
    </row>
    <row r="283" spans="1:18" ht="48" customHeight="1" outlineLevel="2">
      <c r="A283" s="18" t="s">
        <v>270</v>
      </c>
      <c r="B283" s="18" t="s">
        <v>103</v>
      </c>
      <c r="C283" s="18" t="s">
        <v>24</v>
      </c>
      <c r="D283" s="18" t="s">
        <v>16</v>
      </c>
      <c r="E283" s="18"/>
      <c r="F283" s="19">
        <f>F284</f>
        <v>5616128.59</v>
      </c>
      <c r="G283" s="19">
        <f>G284</f>
        <v>24428561</v>
      </c>
      <c r="H283" s="19">
        <v>24428561</v>
      </c>
      <c r="I283" s="19">
        <v>6804828.62</v>
      </c>
      <c r="J283" s="20">
        <f t="shared" si="31"/>
        <v>27.856035482401115</v>
      </c>
      <c r="K283" s="20">
        <f t="shared" si="29"/>
        <v>121.16582643988214</v>
      </c>
      <c r="L283" s="2"/>
      <c r="M283" s="2"/>
      <c r="N283" s="2"/>
      <c r="O283" s="2"/>
      <c r="P283" s="2"/>
      <c r="Q283" s="2"/>
      <c r="R283" s="2"/>
    </row>
    <row r="284" spans="1:18" ht="16.5" customHeight="1" outlineLevel="3">
      <c r="A284" s="10" t="s">
        <v>271</v>
      </c>
      <c r="B284" s="10" t="s">
        <v>103</v>
      </c>
      <c r="C284" s="10" t="s">
        <v>24</v>
      </c>
      <c r="D284" s="10" t="s">
        <v>16</v>
      </c>
      <c r="E284" s="10" t="s">
        <v>104</v>
      </c>
      <c r="F284" s="11">
        <f>5616128.59</f>
        <v>5616128.59</v>
      </c>
      <c r="G284" s="11">
        <v>24428561</v>
      </c>
      <c r="H284" s="11">
        <v>24428561</v>
      </c>
      <c r="I284" s="11">
        <v>6804828.62</v>
      </c>
      <c r="J284" s="16">
        <f t="shared" si="31"/>
        <v>27.856035482401115</v>
      </c>
      <c r="K284" s="16">
        <f t="shared" si="29"/>
        <v>121.16582643988214</v>
      </c>
      <c r="L284" s="2"/>
      <c r="M284" s="2"/>
      <c r="N284" s="2"/>
      <c r="O284" s="2"/>
      <c r="P284" s="2"/>
      <c r="Q284" s="2"/>
      <c r="R284" s="2"/>
    </row>
    <row r="285" spans="1:18" ht="31.5" outlineLevel="2">
      <c r="A285" s="18" t="s">
        <v>272</v>
      </c>
      <c r="B285" s="18" t="s">
        <v>103</v>
      </c>
      <c r="C285" s="18" t="s">
        <v>24</v>
      </c>
      <c r="D285" s="18" t="s">
        <v>38</v>
      </c>
      <c r="E285" s="18"/>
      <c r="F285" s="19">
        <f>F286</f>
        <v>0</v>
      </c>
      <c r="G285" s="19">
        <f>G286</f>
        <v>1339000</v>
      </c>
      <c r="H285" s="19">
        <v>1339000</v>
      </c>
      <c r="I285" s="19">
        <v>0</v>
      </c>
      <c r="J285" s="20">
        <f aca="true" t="shared" si="32" ref="J285:J299">I285/H285*100</f>
        <v>0</v>
      </c>
      <c r="K285" s="16"/>
      <c r="L285" s="2"/>
      <c r="M285" s="2"/>
      <c r="N285" s="2"/>
      <c r="O285" s="2"/>
      <c r="P285" s="2"/>
      <c r="Q285" s="2"/>
      <c r="R285" s="2"/>
    </row>
    <row r="286" spans="1:18" ht="17.25" customHeight="1" outlineLevel="3">
      <c r="A286" s="10" t="s">
        <v>271</v>
      </c>
      <c r="B286" s="10" t="s">
        <v>103</v>
      </c>
      <c r="C286" s="10" t="s">
        <v>24</v>
      </c>
      <c r="D286" s="10" t="s">
        <v>38</v>
      </c>
      <c r="E286" s="10" t="s">
        <v>104</v>
      </c>
      <c r="F286" s="11">
        <v>0</v>
      </c>
      <c r="G286" s="11">
        <v>1339000</v>
      </c>
      <c r="H286" s="11">
        <v>1339000</v>
      </c>
      <c r="I286" s="11">
        <v>0</v>
      </c>
      <c r="J286" s="16">
        <f t="shared" si="32"/>
        <v>0</v>
      </c>
      <c r="K286" s="16"/>
      <c r="L286" s="2"/>
      <c r="M286" s="2"/>
      <c r="N286" s="2"/>
      <c r="O286" s="2"/>
      <c r="P286" s="2"/>
      <c r="Q286" s="2"/>
      <c r="R286" s="2"/>
    </row>
    <row r="287" spans="1:18" ht="47.25" outlineLevel="1">
      <c r="A287" s="18" t="s">
        <v>273</v>
      </c>
      <c r="B287" s="18" t="s">
        <v>103</v>
      </c>
      <c r="C287" s="18" t="s">
        <v>54</v>
      </c>
      <c r="D287" s="18"/>
      <c r="E287" s="18"/>
      <c r="F287" s="19">
        <f>F288</f>
        <v>627550</v>
      </c>
      <c r="G287" s="19">
        <f>G288</f>
        <v>10200000</v>
      </c>
      <c r="H287" s="19">
        <v>10200000</v>
      </c>
      <c r="I287" s="19">
        <v>923450</v>
      </c>
      <c r="J287" s="20">
        <f t="shared" si="32"/>
        <v>9.05343137254902</v>
      </c>
      <c r="K287" s="20">
        <f t="shared" si="29"/>
        <v>147.15162138475023</v>
      </c>
      <c r="L287" s="2"/>
      <c r="M287" s="2"/>
      <c r="N287" s="2"/>
      <c r="O287" s="2"/>
      <c r="P287" s="2"/>
      <c r="Q287" s="2"/>
      <c r="R287" s="2"/>
    </row>
    <row r="288" spans="1:18" ht="80.25" customHeight="1" outlineLevel="2">
      <c r="A288" s="18" t="s">
        <v>274</v>
      </c>
      <c r="B288" s="18" t="s">
        <v>103</v>
      </c>
      <c r="C288" s="18" t="s">
        <v>54</v>
      </c>
      <c r="D288" s="18" t="s">
        <v>9</v>
      </c>
      <c r="E288" s="18"/>
      <c r="F288" s="19">
        <f>F289</f>
        <v>627550</v>
      </c>
      <c r="G288" s="19">
        <f>G289</f>
        <v>10200000</v>
      </c>
      <c r="H288" s="19">
        <v>10200000</v>
      </c>
      <c r="I288" s="19">
        <v>923450</v>
      </c>
      <c r="J288" s="20">
        <f t="shared" si="32"/>
        <v>9.05343137254902</v>
      </c>
      <c r="K288" s="20">
        <f t="shared" si="29"/>
        <v>147.15162138475023</v>
      </c>
      <c r="L288" s="2"/>
      <c r="M288" s="2"/>
      <c r="N288" s="2"/>
      <c r="O288" s="2"/>
      <c r="P288" s="2"/>
      <c r="Q288" s="2"/>
      <c r="R288" s="2"/>
    </row>
    <row r="289" spans="1:18" ht="16.5" customHeight="1" outlineLevel="3">
      <c r="A289" s="10" t="s">
        <v>271</v>
      </c>
      <c r="B289" s="10" t="s">
        <v>103</v>
      </c>
      <c r="C289" s="10" t="s">
        <v>54</v>
      </c>
      <c r="D289" s="10" t="s">
        <v>9</v>
      </c>
      <c r="E289" s="10" t="s">
        <v>104</v>
      </c>
      <c r="F289" s="11">
        <f>627550</f>
        <v>627550</v>
      </c>
      <c r="G289" s="11">
        <v>10200000</v>
      </c>
      <c r="H289" s="11">
        <v>10200000</v>
      </c>
      <c r="I289" s="11">
        <v>923450</v>
      </c>
      <c r="J289" s="16">
        <f t="shared" si="32"/>
        <v>9.05343137254902</v>
      </c>
      <c r="K289" s="16">
        <f t="shared" si="29"/>
        <v>147.15162138475023</v>
      </c>
      <c r="L289" s="2"/>
      <c r="M289" s="2"/>
      <c r="N289" s="2"/>
      <c r="O289" s="2"/>
      <c r="P289" s="2"/>
      <c r="Q289" s="2"/>
      <c r="R289" s="2"/>
    </row>
    <row r="290" spans="1:18" ht="47.25" outlineLevel="1">
      <c r="A290" s="18" t="s">
        <v>275</v>
      </c>
      <c r="B290" s="18" t="s">
        <v>103</v>
      </c>
      <c r="C290" s="18" t="s">
        <v>56</v>
      </c>
      <c r="D290" s="18"/>
      <c r="E290" s="18"/>
      <c r="F290" s="19">
        <f>F291</f>
        <v>0</v>
      </c>
      <c r="G290" s="19">
        <f>G291</f>
        <v>29781900</v>
      </c>
      <c r="H290" s="19">
        <v>29781900</v>
      </c>
      <c r="I290" s="19">
        <v>3917026.9</v>
      </c>
      <c r="J290" s="20">
        <f t="shared" si="32"/>
        <v>13.152374092989366</v>
      </c>
      <c r="K290" s="16"/>
      <c r="L290" s="2"/>
      <c r="M290" s="2"/>
      <c r="N290" s="2"/>
      <c r="O290" s="2"/>
      <c r="P290" s="2"/>
      <c r="Q290" s="2"/>
      <c r="R290" s="2"/>
    </row>
    <row r="291" spans="1:18" ht="47.25" outlineLevel="2">
      <c r="A291" s="18" t="s">
        <v>276</v>
      </c>
      <c r="B291" s="18" t="s">
        <v>103</v>
      </c>
      <c r="C291" s="18" t="s">
        <v>56</v>
      </c>
      <c r="D291" s="18" t="s">
        <v>19</v>
      </c>
      <c r="E291" s="18"/>
      <c r="F291" s="19">
        <f>F292</f>
        <v>0</v>
      </c>
      <c r="G291" s="19">
        <f>G292</f>
        <v>29781900</v>
      </c>
      <c r="H291" s="19">
        <v>29781900</v>
      </c>
      <c r="I291" s="19">
        <v>3917026.9</v>
      </c>
      <c r="J291" s="20">
        <f t="shared" si="32"/>
        <v>13.152374092989366</v>
      </c>
      <c r="K291" s="16"/>
      <c r="L291" s="2"/>
      <c r="M291" s="2"/>
      <c r="N291" s="2"/>
      <c r="O291" s="2"/>
      <c r="P291" s="2"/>
      <c r="Q291" s="2"/>
      <c r="R291" s="2"/>
    </row>
    <row r="292" spans="1:18" ht="16.5" customHeight="1" outlineLevel="3">
      <c r="A292" s="10" t="s">
        <v>271</v>
      </c>
      <c r="B292" s="10" t="s">
        <v>103</v>
      </c>
      <c r="C292" s="10" t="s">
        <v>56</v>
      </c>
      <c r="D292" s="10" t="s">
        <v>19</v>
      </c>
      <c r="E292" s="10" t="s">
        <v>104</v>
      </c>
      <c r="F292" s="11">
        <v>0</v>
      </c>
      <c r="G292" s="11">
        <v>29781900</v>
      </c>
      <c r="H292" s="11">
        <v>29781900</v>
      </c>
      <c r="I292" s="11">
        <v>3917026.9</v>
      </c>
      <c r="J292" s="16">
        <f t="shared" si="32"/>
        <v>13.152374092989366</v>
      </c>
      <c r="K292" s="16"/>
      <c r="L292" s="2"/>
      <c r="M292" s="2"/>
      <c r="N292" s="2"/>
      <c r="O292" s="2"/>
      <c r="P292" s="2"/>
      <c r="Q292" s="2"/>
      <c r="R292" s="2"/>
    </row>
    <row r="293" spans="1:18" ht="32.25" customHeight="1" outlineLevel="1">
      <c r="A293" s="18" t="s">
        <v>277</v>
      </c>
      <c r="B293" s="18" t="s">
        <v>103</v>
      </c>
      <c r="C293" s="18" t="s">
        <v>57</v>
      </c>
      <c r="D293" s="18"/>
      <c r="E293" s="18"/>
      <c r="F293" s="19">
        <f>F294</f>
        <v>5544266.72</v>
      </c>
      <c r="G293" s="19">
        <f>G294</f>
        <v>33545000</v>
      </c>
      <c r="H293" s="19">
        <v>33545000</v>
      </c>
      <c r="I293" s="19">
        <v>10185932.57</v>
      </c>
      <c r="J293" s="20">
        <f t="shared" si="32"/>
        <v>30.364980086451038</v>
      </c>
      <c r="K293" s="20">
        <f t="shared" si="29"/>
        <v>183.72010374710112</v>
      </c>
      <c r="L293" s="2"/>
      <c r="M293" s="2"/>
      <c r="N293" s="2"/>
      <c r="O293" s="2"/>
      <c r="P293" s="2"/>
      <c r="Q293" s="2"/>
      <c r="R293" s="2"/>
    </row>
    <row r="294" spans="1:18" ht="63" outlineLevel="2">
      <c r="A294" s="18" t="s">
        <v>278</v>
      </c>
      <c r="B294" s="18" t="s">
        <v>103</v>
      </c>
      <c r="C294" s="18" t="s">
        <v>57</v>
      </c>
      <c r="D294" s="18" t="s">
        <v>29</v>
      </c>
      <c r="E294" s="18"/>
      <c r="F294" s="19">
        <f>F295</f>
        <v>5544266.72</v>
      </c>
      <c r="G294" s="19">
        <f>G295</f>
        <v>33545000</v>
      </c>
      <c r="H294" s="19">
        <v>33545000</v>
      </c>
      <c r="I294" s="19">
        <v>10185932.57</v>
      </c>
      <c r="J294" s="20">
        <f t="shared" si="32"/>
        <v>30.364980086451038</v>
      </c>
      <c r="K294" s="20">
        <f t="shared" si="29"/>
        <v>183.72010374710112</v>
      </c>
      <c r="L294" s="2"/>
      <c r="M294" s="2"/>
      <c r="N294" s="2"/>
      <c r="O294" s="2"/>
      <c r="P294" s="2"/>
      <c r="Q294" s="2"/>
      <c r="R294" s="2"/>
    </row>
    <row r="295" spans="1:18" ht="17.25" customHeight="1" outlineLevel="3">
      <c r="A295" s="10" t="s">
        <v>271</v>
      </c>
      <c r="B295" s="10" t="s">
        <v>103</v>
      </c>
      <c r="C295" s="10" t="s">
        <v>57</v>
      </c>
      <c r="D295" s="10" t="s">
        <v>29</v>
      </c>
      <c r="E295" s="10" t="s">
        <v>104</v>
      </c>
      <c r="F295" s="11">
        <f>891250+4653016.72</f>
        <v>5544266.72</v>
      </c>
      <c r="G295" s="11">
        <v>33545000</v>
      </c>
      <c r="H295" s="11">
        <v>33545000</v>
      </c>
      <c r="I295" s="11">
        <v>10185932.57</v>
      </c>
      <c r="J295" s="16">
        <f t="shared" si="32"/>
        <v>30.364980086451038</v>
      </c>
      <c r="K295" s="16">
        <f t="shared" si="29"/>
        <v>183.72010374710112</v>
      </c>
      <c r="L295" s="2"/>
      <c r="M295" s="2"/>
      <c r="N295" s="2"/>
      <c r="O295" s="2"/>
      <c r="P295" s="2"/>
      <c r="Q295" s="2"/>
      <c r="R295" s="2"/>
    </row>
    <row r="296" spans="1:18" ht="47.25" outlineLevel="1">
      <c r="A296" s="18" t="s">
        <v>279</v>
      </c>
      <c r="B296" s="18" t="s">
        <v>103</v>
      </c>
      <c r="C296" s="18" t="s">
        <v>58</v>
      </c>
      <c r="D296" s="18"/>
      <c r="E296" s="18"/>
      <c r="F296" s="19">
        <f>F297</f>
        <v>41611213.81</v>
      </c>
      <c r="G296" s="19">
        <f>G297</f>
        <v>32083082.79</v>
      </c>
      <c r="H296" s="19">
        <v>32083082.79</v>
      </c>
      <c r="I296" s="19">
        <v>3162565.34</v>
      </c>
      <c r="J296" s="20">
        <f t="shared" si="32"/>
        <v>9.857423492313968</v>
      </c>
      <c r="K296" s="20">
        <f t="shared" si="29"/>
        <v>7.6002717787578025</v>
      </c>
      <c r="L296" s="2"/>
      <c r="M296" s="2"/>
      <c r="N296" s="2"/>
      <c r="O296" s="2"/>
      <c r="P296" s="2"/>
      <c r="Q296" s="2"/>
      <c r="R296" s="2"/>
    </row>
    <row r="297" spans="1:18" ht="47.25" outlineLevel="2">
      <c r="A297" s="18" t="s">
        <v>280</v>
      </c>
      <c r="B297" s="18" t="s">
        <v>103</v>
      </c>
      <c r="C297" s="18" t="s">
        <v>58</v>
      </c>
      <c r="D297" s="18" t="s">
        <v>30</v>
      </c>
      <c r="E297" s="18"/>
      <c r="F297" s="19">
        <f>F298+F299</f>
        <v>41611213.81</v>
      </c>
      <c r="G297" s="19">
        <f>G298+G299</f>
        <v>32083082.79</v>
      </c>
      <c r="H297" s="19">
        <v>32083082.79</v>
      </c>
      <c r="I297" s="19">
        <v>3162565.34</v>
      </c>
      <c r="J297" s="20">
        <f t="shared" si="32"/>
        <v>9.857423492313968</v>
      </c>
      <c r="K297" s="20">
        <f t="shared" si="29"/>
        <v>7.6002717787578025</v>
      </c>
      <c r="L297" s="2"/>
      <c r="M297" s="2"/>
      <c r="N297" s="2"/>
      <c r="O297" s="2"/>
      <c r="P297" s="2"/>
      <c r="Q297" s="2"/>
      <c r="R297" s="2"/>
    </row>
    <row r="298" spans="1:18" ht="17.25" customHeight="1" outlineLevel="3">
      <c r="A298" s="10" t="s">
        <v>129</v>
      </c>
      <c r="B298" s="10" t="s">
        <v>103</v>
      </c>
      <c r="C298" s="10" t="s">
        <v>58</v>
      </c>
      <c r="D298" s="10" t="s">
        <v>30</v>
      </c>
      <c r="E298" s="10" t="s">
        <v>21</v>
      </c>
      <c r="F298" s="11">
        <v>41131213.81</v>
      </c>
      <c r="G298" s="11">
        <v>12125276.79</v>
      </c>
      <c r="H298" s="11">
        <v>12125276.79</v>
      </c>
      <c r="I298" s="11">
        <v>2511081</v>
      </c>
      <c r="J298" s="16">
        <f t="shared" si="32"/>
        <v>20.70947363503444</v>
      </c>
      <c r="K298" s="16">
        <f t="shared" si="29"/>
        <v>6.105049589831203</v>
      </c>
      <c r="L298" s="2"/>
      <c r="M298" s="2"/>
      <c r="N298" s="2"/>
      <c r="O298" s="2"/>
      <c r="P298" s="2"/>
      <c r="Q298" s="2"/>
      <c r="R298" s="2"/>
    </row>
    <row r="299" spans="1:18" ht="16.5" customHeight="1" outlineLevel="3">
      <c r="A299" s="10" t="s">
        <v>271</v>
      </c>
      <c r="B299" s="10" t="s">
        <v>103</v>
      </c>
      <c r="C299" s="10" t="s">
        <v>58</v>
      </c>
      <c r="D299" s="10" t="s">
        <v>30</v>
      </c>
      <c r="E299" s="10" t="s">
        <v>104</v>
      </c>
      <c r="F299" s="11">
        <v>480000</v>
      </c>
      <c r="G299" s="11">
        <v>19957806</v>
      </c>
      <c r="H299" s="11">
        <v>19957806</v>
      </c>
      <c r="I299" s="11">
        <v>651484.34</v>
      </c>
      <c r="J299" s="16">
        <f t="shared" si="32"/>
        <v>3.264308411455648</v>
      </c>
      <c r="K299" s="16">
        <f t="shared" si="29"/>
        <v>135.72590416666665</v>
      </c>
      <c r="L299" s="2"/>
      <c r="M299" s="2"/>
      <c r="N299" s="2"/>
      <c r="O299" s="2"/>
      <c r="P299" s="2"/>
      <c r="Q299" s="2"/>
      <c r="R299" s="2"/>
    </row>
    <row r="300" spans="1:18" ht="31.5" outlineLevel="1">
      <c r="A300" s="18" t="s">
        <v>281</v>
      </c>
      <c r="B300" s="18" t="s">
        <v>103</v>
      </c>
      <c r="C300" s="18" t="s">
        <v>60</v>
      </c>
      <c r="D300" s="18"/>
      <c r="E300" s="18"/>
      <c r="F300" s="19">
        <f>F301</f>
        <v>3222273.79</v>
      </c>
      <c r="G300" s="19">
        <f>G301</f>
        <v>14665569</v>
      </c>
      <c r="H300" s="19">
        <v>14665569</v>
      </c>
      <c r="I300" s="19">
        <v>4343938.31</v>
      </c>
      <c r="J300" s="20">
        <f aca="true" t="shared" si="33" ref="J300:J307">I300/H300*100</f>
        <v>29.61997799062552</v>
      </c>
      <c r="K300" s="20">
        <f t="shared" si="29"/>
        <v>134.80972111932175</v>
      </c>
      <c r="L300" s="2"/>
      <c r="M300" s="2"/>
      <c r="N300" s="2"/>
      <c r="O300" s="2"/>
      <c r="P300" s="2"/>
      <c r="Q300" s="2"/>
      <c r="R300" s="2"/>
    </row>
    <row r="301" spans="1:18" ht="94.5" outlineLevel="2">
      <c r="A301" s="18" t="s">
        <v>282</v>
      </c>
      <c r="B301" s="18" t="s">
        <v>103</v>
      </c>
      <c r="C301" s="18" t="s">
        <v>60</v>
      </c>
      <c r="D301" s="18" t="s">
        <v>61</v>
      </c>
      <c r="E301" s="18"/>
      <c r="F301" s="19">
        <f>F302</f>
        <v>3222273.79</v>
      </c>
      <c r="G301" s="19">
        <f>G302</f>
        <v>14665569</v>
      </c>
      <c r="H301" s="19">
        <v>14665569</v>
      </c>
      <c r="I301" s="19">
        <v>4343938.31</v>
      </c>
      <c r="J301" s="20">
        <f t="shared" si="33"/>
        <v>29.61997799062552</v>
      </c>
      <c r="K301" s="20">
        <f t="shared" si="29"/>
        <v>134.80972111932175</v>
      </c>
      <c r="L301" s="2"/>
      <c r="M301" s="2"/>
      <c r="N301" s="2"/>
      <c r="O301" s="2"/>
      <c r="P301" s="2"/>
      <c r="Q301" s="2"/>
      <c r="R301" s="2"/>
    </row>
    <row r="302" spans="1:18" ht="31.5" outlineLevel="3">
      <c r="A302" s="10" t="s">
        <v>283</v>
      </c>
      <c r="B302" s="10" t="s">
        <v>103</v>
      </c>
      <c r="C302" s="10" t="s">
        <v>60</v>
      </c>
      <c r="D302" s="10" t="s">
        <v>61</v>
      </c>
      <c r="E302" s="10" t="s">
        <v>43</v>
      </c>
      <c r="F302" s="11">
        <v>3222273.79</v>
      </c>
      <c r="G302" s="11">
        <v>14665569</v>
      </c>
      <c r="H302" s="11">
        <v>14665569</v>
      </c>
      <c r="I302" s="11">
        <v>4343938.31</v>
      </c>
      <c r="J302" s="16">
        <f t="shared" si="33"/>
        <v>29.61997799062552</v>
      </c>
      <c r="K302" s="16">
        <f t="shared" si="29"/>
        <v>134.80972111932175</v>
      </c>
      <c r="L302" s="2"/>
      <c r="M302" s="2"/>
      <c r="N302" s="2"/>
      <c r="O302" s="2"/>
      <c r="P302" s="2"/>
      <c r="Q302" s="2"/>
      <c r="R302" s="2"/>
    </row>
    <row r="303" spans="1:18" ht="31.5" outlineLevel="1">
      <c r="A303" s="18" t="s">
        <v>284</v>
      </c>
      <c r="B303" s="18" t="s">
        <v>103</v>
      </c>
      <c r="C303" s="18" t="s">
        <v>64</v>
      </c>
      <c r="D303" s="18"/>
      <c r="E303" s="18"/>
      <c r="F303" s="19">
        <f>F304</f>
        <v>7918641.98</v>
      </c>
      <c r="G303" s="19">
        <f>G304</f>
        <v>30479692</v>
      </c>
      <c r="H303" s="19">
        <v>30479692</v>
      </c>
      <c r="I303" s="19">
        <v>7457970.42</v>
      </c>
      <c r="J303" s="20">
        <f t="shared" si="33"/>
        <v>24.468654145192804</v>
      </c>
      <c r="K303" s="20">
        <f t="shared" si="29"/>
        <v>94.18244237883829</v>
      </c>
      <c r="L303" s="2"/>
      <c r="M303" s="2"/>
      <c r="N303" s="2"/>
      <c r="O303" s="2"/>
      <c r="P303" s="2"/>
      <c r="Q303" s="2"/>
      <c r="R303" s="2"/>
    </row>
    <row r="304" spans="1:18" ht="64.5" customHeight="1" outlineLevel="2">
      <c r="A304" s="18" t="s">
        <v>285</v>
      </c>
      <c r="B304" s="18" t="s">
        <v>103</v>
      </c>
      <c r="C304" s="18" t="s">
        <v>64</v>
      </c>
      <c r="D304" s="18" t="s">
        <v>91</v>
      </c>
      <c r="E304" s="18"/>
      <c r="F304" s="19">
        <f>F305</f>
        <v>7918641.98</v>
      </c>
      <c r="G304" s="19">
        <f>G305</f>
        <v>30479692</v>
      </c>
      <c r="H304" s="19">
        <v>30479692</v>
      </c>
      <c r="I304" s="19">
        <v>7457970.42</v>
      </c>
      <c r="J304" s="20">
        <f t="shared" si="33"/>
        <v>24.468654145192804</v>
      </c>
      <c r="K304" s="20">
        <f t="shared" si="29"/>
        <v>94.18244237883829</v>
      </c>
      <c r="L304" s="2"/>
      <c r="M304" s="2"/>
      <c r="N304" s="2"/>
      <c r="O304" s="2"/>
      <c r="P304" s="2"/>
      <c r="Q304" s="2"/>
      <c r="R304" s="2"/>
    </row>
    <row r="305" spans="1:18" ht="17.25" customHeight="1" outlineLevel="3">
      <c r="A305" s="10" t="s">
        <v>286</v>
      </c>
      <c r="B305" s="10" t="s">
        <v>103</v>
      </c>
      <c r="C305" s="10" t="s">
        <v>64</v>
      </c>
      <c r="D305" s="10" t="s">
        <v>91</v>
      </c>
      <c r="E305" s="10" t="s">
        <v>105</v>
      </c>
      <c r="F305" s="11">
        <f>5098976.58+1813638.9+139391.36+866635.14</f>
        <v>7918641.98</v>
      </c>
      <c r="G305" s="11">
        <v>30479692</v>
      </c>
      <c r="H305" s="11">
        <v>30479692</v>
      </c>
      <c r="I305" s="11">
        <v>7457970.42</v>
      </c>
      <c r="J305" s="16">
        <f t="shared" si="33"/>
        <v>24.468654145192804</v>
      </c>
      <c r="K305" s="16">
        <f t="shared" si="29"/>
        <v>94.18244237883829</v>
      </c>
      <c r="L305" s="2"/>
      <c r="M305" s="2"/>
      <c r="N305" s="2"/>
      <c r="O305" s="2"/>
      <c r="P305" s="2"/>
      <c r="Q305" s="2"/>
      <c r="R305" s="2"/>
    </row>
    <row r="306" spans="1:18" ht="15.75">
      <c r="A306" s="18" t="s">
        <v>106</v>
      </c>
      <c r="B306" s="18" t="s">
        <v>107</v>
      </c>
      <c r="C306" s="18"/>
      <c r="D306" s="18"/>
      <c r="E306" s="18"/>
      <c r="F306" s="19">
        <f>F307+F308+F310+F311+F312+F313</f>
        <v>40127355</v>
      </c>
      <c r="G306" s="19">
        <f>G307+G308+G309+G310+G311+G312</f>
        <v>338574395.09000003</v>
      </c>
      <c r="H306" s="19">
        <v>334964395.09</v>
      </c>
      <c r="I306" s="19">
        <v>57381758.39</v>
      </c>
      <c r="J306" s="20">
        <f t="shared" si="33"/>
        <v>17.130703809454843</v>
      </c>
      <c r="K306" s="20">
        <f t="shared" si="29"/>
        <v>142.99910470052163</v>
      </c>
      <c r="L306" s="2"/>
      <c r="M306" s="2"/>
      <c r="N306" s="2"/>
      <c r="O306" s="2"/>
      <c r="P306" s="2"/>
      <c r="Q306" s="2"/>
      <c r="R306" s="2"/>
    </row>
    <row r="307" spans="1:18" ht="15.75" outlineLevel="3">
      <c r="A307" s="10" t="s">
        <v>287</v>
      </c>
      <c r="B307" s="10" t="s">
        <v>107</v>
      </c>
      <c r="C307" s="10" t="s">
        <v>7</v>
      </c>
      <c r="D307" s="10" t="s">
        <v>8</v>
      </c>
      <c r="E307" s="10" t="s">
        <v>108</v>
      </c>
      <c r="F307" s="11">
        <v>24384634.76</v>
      </c>
      <c r="G307" s="11">
        <v>118342423</v>
      </c>
      <c r="H307" s="11">
        <v>118342423</v>
      </c>
      <c r="I307" s="11">
        <v>40467743.79</v>
      </c>
      <c r="J307" s="16">
        <f t="shared" si="33"/>
        <v>34.19546665019694</v>
      </c>
      <c r="K307" s="16">
        <f t="shared" si="29"/>
        <v>165.9559152240507</v>
      </c>
      <c r="L307" s="2"/>
      <c r="M307" s="2"/>
      <c r="N307" s="2"/>
      <c r="O307" s="2"/>
      <c r="P307" s="2"/>
      <c r="Q307" s="2"/>
      <c r="R307" s="2"/>
    </row>
    <row r="308" spans="1:18" ht="63" outlineLevel="3">
      <c r="A308" s="10" t="s">
        <v>288</v>
      </c>
      <c r="B308" s="10" t="s">
        <v>107</v>
      </c>
      <c r="C308" s="10" t="s">
        <v>7</v>
      </c>
      <c r="D308" s="10" t="s">
        <v>8</v>
      </c>
      <c r="E308" s="10" t="s">
        <v>109</v>
      </c>
      <c r="F308" s="11">
        <v>2696267.81</v>
      </c>
      <c r="G308" s="11">
        <v>11997661</v>
      </c>
      <c r="H308" s="11">
        <v>11997661</v>
      </c>
      <c r="I308" s="11">
        <v>3173440.97</v>
      </c>
      <c r="J308" s="16">
        <f>I308/H308*100</f>
        <v>26.450497059385157</v>
      </c>
      <c r="K308" s="16">
        <f t="shared" si="29"/>
        <v>117.69754318284875</v>
      </c>
      <c r="L308" s="2"/>
      <c r="M308" s="2"/>
      <c r="N308" s="2"/>
      <c r="O308" s="2"/>
      <c r="P308" s="2"/>
      <c r="Q308" s="2"/>
      <c r="R308" s="2"/>
    </row>
    <row r="309" spans="1:18" ht="15.75" outlineLevel="3">
      <c r="A309" s="10" t="s">
        <v>212</v>
      </c>
      <c r="B309" s="10" t="s">
        <v>107</v>
      </c>
      <c r="C309" s="10" t="s">
        <v>7</v>
      </c>
      <c r="D309" s="10" t="s">
        <v>8</v>
      </c>
      <c r="E309" s="10" t="s">
        <v>82</v>
      </c>
      <c r="F309" s="11">
        <v>0</v>
      </c>
      <c r="G309" s="11">
        <v>153645447.09</v>
      </c>
      <c r="H309" s="11">
        <v>149998448.09</v>
      </c>
      <c r="I309" s="11">
        <v>0</v>
      </c>
      <c r="J309" s="16">
        <f>I309/H309*100</f>
        <v>0</v>
      </c>
      <c r="K309" s="16"/>
      <c r="L309" s="2"/>
      <c r="M309" s="2"/>
      <c r="N309" s="2"/>
      <c r="O309" s="2"/>
      <c r="P309" s="2"/>
      <c r="Q309" s="2"/>
      <c r="R309" s="2"/>
    </row>
    <row r="310" spans="1:18" ht="31.5" outlineLevel="3">
      <c r="A310" s="10" t="s">
        <v>121</v>
      </c>
      <c r="B310" s="10" t="s">
        <v>107</v>
      </c>
      <c r="C310" s="10" t="s">
        <v>7</v>
      </c>
      <c r="D310" s="10" t="s">
        <v>8</v>
      </c>
      <c r="E310" s="10" t="s">
        <v>12</v>
      </c>
      <c r="F310" s="11">
        <v>152767</v>
      </c>
      <c r="G310" s="11">
        <v>0</v>
      </c>
      <c r="H310" s="11">
        <v>36999</v>
      </c>
      <c r="I310" s="11">
        <v>36999</v>
      </c>
      <c r="J310" s="16">
        <f>I310/H310*100</f>
        <v>100</v>
      </c>
      <c r="K310" s="16">
        <f t="shared" si="29"/>
        <v>24.219235829727626</v>
      </c>
      <c r="L310" s="2"/>
      <c r="M310" s="2"/>
      <c r="N310" s="2"/>
      <c r="O310" s="2"/>
      <c r="P310" s="2"/>
      <c r="Q310" s="2"/>
      <c r="R310" s="2"/>
    </row>
    <row r="311" spans="1:18" ht="15.75" outlineLevel="3">
      <c r="A311" s="10" t="s">
        <v>289</v>
      </c>
      <c r="B311" s="10" t="s">
        <v>107</v>
      </c>
      <c r="C311" s="10" t="s">
        <v>7</v>
      </c>
      <c r="D311" s="10" t="s">
        <v>8</v>
      </c>
      <c r="E311" s="10" t="s">
        <v>110</v>
      </c>
      <c r="F311" s="11">
        <v>8411537.91</v>
      </c>
      <c r="G311" s="11">
        <v>32748864</v>
      </c>
      <c r="H311" s="11">
        <v>32748864</v>
      </c>
      <c r="I311" s="11">
        <v>8575335.18</v>
      </c>
      <c r="J311" s="16">
        <f>I311/H311*100</f>
        <v>26.185137841727883</v>
      </c>
      <c r="K311" s="16">
        <f t="shared" si="29"/>
        <v>101.94729277514485</v>
      </c>
      <c r="L311" s="2"/>
      <c r="M311" s="2"/>
      <c r="N311" s="2"/>
      <c r="O311" s="2"/>
      <c r="P311" s="2"/>
      <c r="Q311" s="2"/>
      <c r="R311" s="2"/>
    </row>
    <row r="312" spans="1:18" ht="15.75" outlineLevel="3">
      <c r="A312" s="10" t="s">
        <v>290</v>
      </c>
      <c r="B312" s="10" t="s">
        <v>107</v>
      </c>
      <c r="C312" s="10" t="s">
        <v>7</v>
      </c>
      <c r="D312" s="10" t="s">
        <v>8</v>
      </c>
      <c r="E312" s="10" t="s">
        <v>111</v>
      </c>
      <c r="F312" s="11">
        <v>3828931.37</v>
      </c>
      <c r="G312" s="11">
        <v>21840000</v>
      </c>
      <c r="H312" s="11">
        <v>21840000</v>
      </c>
      <c r="I312" s="11">
        <v>5128239.45</v>
      </c>
      <c r="J312" s="16">
        <f>I312/H312*100</f>
        <v>23.480949862637363</v>
      </c>
      <c r="K312" s="16">
        <f t="shared" si="29"/>
        <v>133.93396105712912</v>
      </c>
      <c r="L312" s="2"/>
      <c r="M312" s="2"/>
      <c r="N312" s="2"/>
      <c r="O312" s="2"/>
      <c r="P312" s="2"/>
      <c r="Q312" s="2"/>
      <c r="R312" s="2"/>
    </row>
    <row r="313" spans="1:18" ht="15.75" outlineLevel="3">
      <c r="A313" s="10" t="s">
        <v>261</v>
      </c>
      <c r="B313" s="10" t="s">
        <v>107</v>
      </c>
      <c r="C313" s="10" t="s">
        <v>7</v>
      </c>
      <c r="D313" s="10" t="s">
        <v>8</v>
      </c>
      <c r="E313" s="10" t="s">
        <v>99</v>
      </c>
      <c r="F313" s="11">
        <v>653216.15</v>
      </c>
      <c r="G313" s="11">
        <v>0</v>
      </c>
      <c r="H313" s="11">
        <v>0</v>
      </c>
      <c r="I313" s="11">
        <v>0</v>
      </c>
      <c r="J313" s="16"/>
      <c r="K313" s="16">
        <f t="shared" si="29"/>
        <v>0</v>
      </c>
      <c r="L313" s="2"/>
      <c r="M313" s="2"/>
      <c r="N313" s="2"/>
      <c r="O313" s="2"/>
      <c r="P313" s="2"/>
      <c r="Q313" s="2"/>
      <c r="R313" s="2"/>
    </row>
    <row r="314" spans="1:17" ht="17.25" customHeight="1">
      <c r="A314" s="13" t="s">
        <v>117</v>
      </c>
      <c r="B314" s="12"/>
      <c r="C314" s="12"/>
      <c r="D314" s="12"/>
      <c r="E314" s="12"/>
      <c r="F314" s="21">
        <f>F6+F15+F36+F49+F56+F69+F88+F103+F121+F174+F187+F205+F238+F248+F251+F264+F271+F281+F306</f>
        <v>9016287488.010002</v>
      </c>
      <c r="G314" s="21">
        <f>G6+G15+G36+G49+G56+G69+G88+G103+G121+G174+G187+G205+G238+G248+G251+G264+G271+G281+G306</f>
        <v>37668922065.1</v>
      </c>
      <c r="H314" s="14">
        <v>43239046657.9</v>
      </c>
      <c r="I314" s="14">
        <v>9281771846.98</v>
      </c>
      <c r="J314" s="17">
        <f>I314/H314*100</f>
        <v>21.466180603878257</v>
      </c>
      <c r="K314" s="17">
        <f t="shared" si="29"/>
        <v>102.94449749215563</v>
      </c>
      <c r="L314" s="2"/>
      <c r="M314" s="2"/>
      <c r="N314" s="2"/>
      <c r="O314" s="2"/>
      <c r="P314" s="2"/>
      <c r="Q314" s="2"/>
    </row>
    <row r="315" spans="1:17" ht="12.75" customHeight="1">
      <c r="A315" s="5"/>
      <c r="B315" s="5"/>
      <c r="C315" s="5"/>
      <c r="D315" s="5"/>
      <c r="E315" s="5"/>
      <c r="F315" s="5"/>
      <c r="G315" s="5"/>
      <c r="H315" s="6"/>
      <c r="I315" s="6"/>
      <c r="J315" s="6"/>
      <c r="K315" s="2"/>
      <c r="L315" s="2"/>
      <c r="M315" s="2"/>
      <c r="N315" s="2"/>
      <c r="O315" s="2"/>
      <c r="P315" s="2"/>
      <c r="Q315" s="2"/>
    </row>
  </sheetData>
  <sheetProtection/>
  <autoFilter ref="A4:E314"/>
  <mergeCells count="13">
    <mergeCell ref="A4:A5"/>
    <mergeCell ref="B4:B5"/>
    <mergeCell ref="C4:C5"/>
    <mergeCell ref="D4:D5"/>
    <mergeCell ref="I4:I5"/>
    <mergeCell ref="J4:J5"/>
    <mergeCell ref="K4:K5"/>
    <mergeCell ref="A2:K2"/>
    <mergeCell ref="A3:K3"/>
    <mergeCell ref="E4:E5"/>
    <mergeCell ref="F4:F5"/>
    <mergeCell ref="H4:H5"/>
    <mergeCell ref="G4:G5"/>
  </mergeCells>
  <printOptions/>
  <pageMargins left="0.3937007874015748" right="0.3937007874015748" top="0.5905511811023623" bottom="0.3937007874015748" header="0.3937007874015748" footer="0.3937007874015748"/>
  <pageSetup errors="blank" fitToHeight="0" horizontalDpi="600" verticalDpi="600" orientation="landscape" paperSize="9" scale="7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2016-04-27T16:18:32Z</cp:lastPrinted>
  <dcterms:created xsi:type="dcterms:W3CDTF">2016-04-19T09:34:51Z</dcterms:created>
  <dcterms:modified xsi:type="dcterms:W3CDTF">2016-10-27T08:55:27Z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C:\Users\davidova\AppData\Local\Кейсистемс\Бюджет-КС\ReportManager\sqr_generator2016.xls</vt:lpwstr>
  </property>
</Properties>
</file>